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6BE55199-5E1D-4644-8124-E7186FDDFE4A}"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W56" i="95" l="1"/>
  <c r="AL56" i="95"/>
  <c r="AW52" i="95"/>
  <c r="AW47" i="95"/>
  <c r="AW33" i="95"/>
  <c r="AW78" i="95"/>
  <c r="AW41" i="95"/>
  <c r="AW25" i="95"/>
  <c r="AW45" i="95"/>
  <c r="AW61" i="95"/>
  <c r="AW83" i="95"/>
  <c r="AW32" i="95"/>
  <c r="AW18" i="95"/>
  <c r="AW28" i="95"/>
  <c r="AW23" i="95"/>
  <c r="AW50" i="95"/>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AL54" i="95" s="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0" i="73" l="1"/>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5" i="73"/>
  <c r="AG60" i="73"/>
  <c r="AG69" i="73"/>
  <c r="AG63" i="73"/>
  <c r="AG78" i="73"/>
  <c r="AG68"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AL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L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L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L51" i="95" s="1"/>
  <c r="AB51" i="95"/>
  <c r="AC52" i="95"/>
  <c r="AP52" i="95" s="1"/>
  <c r="AL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<sst xmlns="http://schemas.openxmlformats.org/spreadsheetml/2006/main" count="8491" uniqueCount="2603">
  <si>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</si>
  <si>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</si>
  <si>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</si>
  <si>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</si>
  <si>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</si>
  <si>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</si>
  <si>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</si>
  <si>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</si>
  <si>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</si>
  <si>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</si>
  <si>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</si>
  <si>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</si>
  <si>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</si>
  <si>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</si>
  <si>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</si>
  <si>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</si>
  <si>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</si>
  <si>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</si>
  <si>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</si>
  <si>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</si>
  <si>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</si>
  <si>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</si>
  <si>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</si>
  <si>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</si>
  <si>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</si>
  <si>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</si>
  <si>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</si>
  <si>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</si>
  <si>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</si>
  <si>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</si>
  <si>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</si>
  <si>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</si>
  <si>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</si>
  <si>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</si>
  <si>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</si>
  <si>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</si>
  <si>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</si>
  <si>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</si>
  <si>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</si>
  <si>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</si>
  <si>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</si>
  <si>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</si>
  <si>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</si>
  <si>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</si>
  <si>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</si>
  <si>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</si>
  <si>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</si>
  <si>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</si>
  <si>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</si>
  <si>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</si>
  <si>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</si>
  <si>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</si>
  <si>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</si>
  <si>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</si>
  <si>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</si>
  <si>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</si>
  <si>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</si>
  <si>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</si>
  <si>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</si>
  <si>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</si>
  <si>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</si>
  <si>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</si>
  <si>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</si>
  <si>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</si>
  <si>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</si>
  <si>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</si>
  <si>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</si>
  <si>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</si>
  <si>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</si>
  <si>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</si>
  <si>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</si>
  <si>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</si>
  <si>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</si>
  <si>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</si>
  <si>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</si>
  <si>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</si>
  <si>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</si>
  <si>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</si>
  <si>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</si>
  <si>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</si>
  <si>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</si>
  <si>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</si>
  <si>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</si>
  <si>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</si>
  <si>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</si>
  <si>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</si>
  <si>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</si>
  <si>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</si>
  <si>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</si>
  <si>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</si>
  <si>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</si>
  <si>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</si>
  <si>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</si>
  <si>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</si>
  <si>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</si>
  <si>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</si>
  <si>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</si>
  <si>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</si>
  <si>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</si>
  <si>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</si>
  <si>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</si>
  <si>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</si>
  <si>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</si>
  <si>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</si>
  <si>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</si>
  <si>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</si>
  <si>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</si>
  <si>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</si>
  <si>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</si>
  <si>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</si>
  <si>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</si>
  <si>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</si>
  <si>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</si>
  <si>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</si>
  <si>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</si>
  <si>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</si>
  <si>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</si>
  <si>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</si>
  <si>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</si>
  <si>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</si>
  <si>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</si>
  <si>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</si>
  <si>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</si>
  <si>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</si>
  <si>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</si>
  <si>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</si>
  <si>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</si>
  <si>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</si>
  <si>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</si>
  <si>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</si>
  <si>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</si>
  <si>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</si>
  <si>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</si>
  <si>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</si>
  <si>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</si>
  <si>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</si>
  <si>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</si>
  <si>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</si>
  <si>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</si>
  <si>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</si>
  <si>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</si>
  <si>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</si>
  <si>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</si>
  <si>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</si>
  <si>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</si>
  <si>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</si>
  <si>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</si>
  <si>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</si>
  <si>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</si>
  <si>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</si>
  <si>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</si>
  <si>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</si>
  <si>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</si>
  <si>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</si>
  <si>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</si>
  <si>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</si>
  <si>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</si>
  <si>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</si>
  <si>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</si>
  <si>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</si>
  <si>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</si>
  <si>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</si>
  <si>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</si>
  <si>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</si>
  <si>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</si>
  <si>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</si>
  <si>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</si>
  <si>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</si>
  <si>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</si>
  <si>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</si>
  <si>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</si>
  <si>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</si>
  <si>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</si>
  <si>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</si>
  <si>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</si>
  <si>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</si>
  <si>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</si>
  <si>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</si>
  <si>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</si>
  <si>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</si>
  <si>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</si>
  <si>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</si>
  <si>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</si>
  <si>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</si>
  <si>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</si>
  <si>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</si>
  <si>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</si>
  <si>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</si>
  <si>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</si>
  <si>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</si>
  <si>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</si>
  <si>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</si>
  <si>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</si>
  <si>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</si>
  <si>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</si>
  <si>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</si>
  <si>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</si>
  <si>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</si>
  <si>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</si>
  <si>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</si>
  <si>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</si>
  <si>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</si>
  <si>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</si>
  <si>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</si>
  <si>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</si>
  <si>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</si>
  <si>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</si>
  <si>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</si>
  <si>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</si>
  <si>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</si>
  <si>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</si>
  <si>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</si>
  <si>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</si>
  <si>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</si>
  <si>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</si>
  <si>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</si>
  <si>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</si>
  <si>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</si>
  <si>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</si>
  <si>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</si>
  <si>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</si>
  <si>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</si>
  <si>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</si>
  <si>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</si>
  <si>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</si>
  <si>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</si>
  <si>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</si>
  <si>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</si>
  <si>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</si>
  <si>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</si>
  <si>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</si>
  <si>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</si>
  <si>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</si>
  <si>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</si>
  <si>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</si>
  <si>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</si>
  <si>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</si>
  <si>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</si>
  <si>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</si>
  <si>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</si>
  <si>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</si>
  <si>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</si>
  <si>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</si>
  <si>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</si>
  <si>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</si>
  <si>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</si>
  <si>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</si>
  <si>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</si>
  <si>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</si>
  <si>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</si>
  <si>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</si>
  <si>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</si>
  <si>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</si>
  <si>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</si>
  <si>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</si>
  <si>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</si>
  <si>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</si>
  <si>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</si>
  <si>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</si>
  <si>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</si>
  <si>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</si>
  <si>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</si>
  <si>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</si>
  <si>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</si>
  <si>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</si>
  <si>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</si>
  <si>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</si>
  <si>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</si>
  <si>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</si>
  <si>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</si>
  <si>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</si>
  <si>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</si>
  <si>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</si>
  <si>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</si>
  <si>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</si>
  <si>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</si>
  <si>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</si>
  <si>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</si>
  <si>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</si>
  <si>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</si>
  <si>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</si>
  <si>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</si>
  <si>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</si>
  <si>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</si>
  <si>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</si>
  <si>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</si>
  <si>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</si>
  <si>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</si>
  <si>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</si>
  <si>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</si>
  <si>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</si>
  <si>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</si>
  <si>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</si>
  <si>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</si>
  <si>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</si>
  <si>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</si>
  <si>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</si>
  <si>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</si>
  <si>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</si>
  <si>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</si>
  <si>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</si>
  <si>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</si>
  <si>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</si>
  <si>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</si>
  <si>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</si>
  <si>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</si>
  <si>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</si>
  <si>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</si>
  <si>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</si>
  <si>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</si>
  <si>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</si>
  <si>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</si>
  <si>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</si>
  <si>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</si>
  <si>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</si>
  <si>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</si>
  <si>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</si>
  <si>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</si>
  <si>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</si>
  <si>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</si>
  <si>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</si>
  <si>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</si>
  <si>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</si>
  <si>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</si>
  <si>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</si>
  <si>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</si>
  <si>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</si>
  <si>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</si>
  <si>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</si>
  <si>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</si>
  <si>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</si>
  <si>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</si>
  <si>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</si>
  <si>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</si>
  <si>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</si>
  <si>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</si>
  <si>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</si>
  <si>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</si>
  <si>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</si>
  <si>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</si>
  <si>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</si>
  <si>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</si>
  <si>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</si>
  <si>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</si>
  <si>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</si>
  <si>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</si>
  <si>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</si>
  <si>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</si>
  <si>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</si>
  <si>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</si>
  <si>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</si>
  <si>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</si>
  <si>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</si>
  <si>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</si>
  <si>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</si>
  <si>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</si>
  <si>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</si>
  <si>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</si>
  <si>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</si>
  <si>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</si>
  <si>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</si>
  <si>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</si>
  <si>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</si>
  <si>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</si>
  <si>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</si>
  <si>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</si>
  <si>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</si>
  <si>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</si>
  <si>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</si>
  <si>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</si>
  <si>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</si>
  <si>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</si>
  <si>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</si>
  <si>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</si>
  <si>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</si>
  <si>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</si>
  <si>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</si>
  <si>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</si>
  <si>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</si>
  <si>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</si>
  <si>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</si>
  <si>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</si>
  <si>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</si>
  <si>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</si>
  <si>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</si>
  <si>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</si>
  <si>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</si>
  <si>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</si>
  <si>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</si>
  <si>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</si>
  <si>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</si>
  <si>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</si>
  <si>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</si>
  <si>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</si>
  <si>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</si>
  <si>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</si>
  <si>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</si>
  <si>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</si>
  <si>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</si>
  <si>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</si>
  <si>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</si>
  <si>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</si>
  <si>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</si>
  <si>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</si>
  <si>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</si>
  <si>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</si>
  <si>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</si>
  <si>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</si>
  <si>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</si>
  <si>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</si>
  <si>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</si>
  <si>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</si>
  <si>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</si>
  <si>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</si>
  <si>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</si>
  <si>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</si>
  <si>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</si>
  <si>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</si>
  <si>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</si>
  <si>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</si>
  <si>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</si>
  <si>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</si>
  <si>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</si>
  <si>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</si>
  <si>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</si>
  <si>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</si>
  <si>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</si>
  <si>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</si>
  <si>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</si>
  <si>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</si>
  <si>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</si>
  <si>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</si>
  <si>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</si>
  <si>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</si>
  <si>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</si>
  <si>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</si>
  <si>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</si>
  <si>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</si>
  <si>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</si>
  <si>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</si>
  <si>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</si>
  <si>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</si>
  <si>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</si>
  <si>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</si>
  <si>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</si>
  <si>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</si>
  <si>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</si>
  <si>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</si>
  <si>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</si>
  <si>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</si>
  <si>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</si>
  <si>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</si>
  <si>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</si>
  <si>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</si>
  <si>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</si>
  <si>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</si>
  <si>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</si>
  <si>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</si>
  <si>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</si>
  <si>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</si>
  <si>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</si>
  <si>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</si>
  <si>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</si>
  <si>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</si>
  <si>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</si>
  <si>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</si>
  <si>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</si>
  <si>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</si>
  <si>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</si>
  <si>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</si>
  <si>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</si>
  <si>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</si>
  <si>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</si>
  <si>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</si>
  <si>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</si>
  <si>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</si>
  <si>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</si>
  <si>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</si>
  <si>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</si>
  <si>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</si>
  <si>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</si>
  <si>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</si>
  <si>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</si>
  <si>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</si>
  <si>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</si>
  <si>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</si>
  <si>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</si>
  <si>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</si>
  <si>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</si>
  <si>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</si>
  <si>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</si>
  <si>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</si>
  <si>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</si>
  <si>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</si>
  <si>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</si>
  <si>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</si>
  <si>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</si>
  <si>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</si>
  <si>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</si>
  <si>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</si>
  <si>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</si>
  <si>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</si>
  <si>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</si>
  <si>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</si>
  <si>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</si>
  <si>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</si>
  <si>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</si>
  <si>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</si>
  <si>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</si>
  <si>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</si>
  <si>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</si>
  <si>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</si>
  <si>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</si>
  <si>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</si>
  <si>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</si>
  <si>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</si>
  <si>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</si>
  <si>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</si>
  <si>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</si>
  <si>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</si>
  <si>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</si>
  <si>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</si>
  <si>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</si>
  <si>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</si>
  <si>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</si>
  <si>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</si>
  <si>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</si>
  <si>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</si>
  <si>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</si>
  <si>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</si>
  <si>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</si>
  <si>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</si>
  <si>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</si>
  <si>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</si>
  <si>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</si>
  <si>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</si>
  <si>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</si>
  <si>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</si>
  <si>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</si>
  <si>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</si>
  <si>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</si>
  <si>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</si>
  <si>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</si>
  <si>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</si>
  <si>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</si>
  <si>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</si>
  <si>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</si>
  <si>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</si>
  <si>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</si>
  <si>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</si>
  <si>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</si>
  <si>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</si>
  <si>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</si>
  <si>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</si>
  <si>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</si>
  <si>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</si>
  <si>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</si>
  <si>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</si>
  <si>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</si>
  <si>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</si>
  <si>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</si>
  <si>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</si>
  <si>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</si>
  <si>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</si>
  <si>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</si>
  <si>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</si>
  <si>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</si>
  <si>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</si>
  <si>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</si>
  <si>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</si>
  <si>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</si>
  <si>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</si>
  <si>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</si>
  <si>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</si>
  <si>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</si>
  <si>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</si>
  <si>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</si>
  <si>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</si>
  <si>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</si>
  <si>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</si>
  <si>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</si>
  <si>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</si>
  <si>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</si>
  <si>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</si>
  <si>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</si>
  <si>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</si>
  <si>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</si>
  <si>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</si>
  <si>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</si>
  <si>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</si>
  <si>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</si>
  <si>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</si>
  <si>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</si>
  <si>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</si>
  <si>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</si>
  <si>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</si>
  <si>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</si>
  <si>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</si>
  <si>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</si>
  <si>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</si>
  <si>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</si>
  <si>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</si>
  <si>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</si>
  <si>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</si>
  <si>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</si>
  <si>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</si>
  <si>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</si>
  <si>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</si>
  <si>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</si>
  <si>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</si>
  <si>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</si>
  <si>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</si>
  <si>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</si>
  <si>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</si>
  <si>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</si>
  <si>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</si>
  <si>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</si>
  <si>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</si>
  <si>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</si>
  <si>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</si>
  <si>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</si>
  <si>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</si>
  <si>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</si>
  <si>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</si>
  <si>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</si>
  <si>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</si>
  <si>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</si>
  <si>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</si>
  <si>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</si>
  <si>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</si>
  <si>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</si>
  <si>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</si>
  <si>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</si>
  <si>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</si>
  <si>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</si>
  <si>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</si>
  <si>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</si>
  <si>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</si>
  <si>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</si>
  <si>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</si>
  <si>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</si>
  <si>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</si>
  <si>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</si>
  <si>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</si>
  <si>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</si>
  <si>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</si>
  <si>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</si>
  <si>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</si>
  <si>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</si>
  <si>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</si>
  <si>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</si>
  <si>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</si>
  <si>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</si>
  <si>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</si>
  <si>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</si>
  <si>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</si>
  <si>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</si>
  <si>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</si>
  <si>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</si>
  <si>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</si>
  <si>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</si>
  <si>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</si>
  <si>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</si>
  <si>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</si>
  <si>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</si>
  <si>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</si>
  <si>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</si>
  <si>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</si>
  <si>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</si>
  <si>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</si>
  <si>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</si>
  <si>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</si>
  <si>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</si>
  <si>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</si>
  <si>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</si>
  <si>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</si>
  <si>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</si>
  <si>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</si>
  <si>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</si>
  <si>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</si>
  <si>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</si>
  <si>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</si>
  <si>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</si>
  <si>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</si>
  <si>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</si>
  <si>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</si>
  <si>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</si>
  <si>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</si>
  <si>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</si>
  <si>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</si>
  <si>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</si>
  <si>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</si>
  <si>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</si>
  <si>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</si>
  <si>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</si>
  <si>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</si>
  <si>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</si>
  <si>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</si>
  <si>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</si>
  <si>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</si>
  <si>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</si>
  <si>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</si>
  <si>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</si>
  <si>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</si>
  <si>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</si>
  <si>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</si>
  <si>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</si>
  <si>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</si>
  <si>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</si>
  <si>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</si>
  <si>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</si>
  <si>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</si>
  <si>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</si>
  <si>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</si>
  <si>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</si>
  <si>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</si>
  <si>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</si>
  <si>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</si>
  <si>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</si>
  <si>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</si>
  <si>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</si>
  <si>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</si>
  <si>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</si>
  <si>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</si>
  <si>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</si>
  <si>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</si>
  <si>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</si>
  <si>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</si>
  <si>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</si>
  <si>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</si>
  <si>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</si>
  <si>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</si>
  <si>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</si>
  <si>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</si>
  <si>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</si>
  <si>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</si>
  <si>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</si>
  <si>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</si>
  <si>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</si>
  <si>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</si>
  <si>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</si>
  <si>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</si>
  <si>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</si>
  <si>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</si>
  <si>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</si>
  <si>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</si>
  <si>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</si>
  <si>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</si>
  <si>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</si>
  <si>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</si>
  <si>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</si>
  <si>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</si>
  <si>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</si>
  <si>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</si>
  <si>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</si>
  <si>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</si>
  <si>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</si>
  <si>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</si>
  <si>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</si>
  <si>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</si>
  <si>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</si>
  <si>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</si>
  <si>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</si>
  <si>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</si>
  <si>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</si>
  <si>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</si>
  <si>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</si>
  <si>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</si>
  <si>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</si>
  <si>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</si>
  <si>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</si>
  <si>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</si>
  <si>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</si>
  <si>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</si>
  <si>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</si>
  <si>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</si>
  <si>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</si>
  <si>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</si>
  <si>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</si>
  <si>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</si>
  <si>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</si>
  <si>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</si>
  <si>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</si>
  <si>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</si>
  <si>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</si>
  <si>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</si>
  <si>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</si>
  <si>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</si>
  <si>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</si>
  <si>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</si>
  <si>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</si>
  <si>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</si>
  <si>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</si>
  <si>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</si>
  <si>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</si>
  <si>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</si>
  <si>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</si>
  <si>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</si>
  <si>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</si>
  <si>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</si>
  <si>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</si>
  <si>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</si>
  <si>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</si>
  <si>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</si>
  <si>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</si>
  <si>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</si>
  <si>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</si>
  <si>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</si>
  <si>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</si>
  <si>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</si>
  <si>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</si>
  <si>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</si>
  <si>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</si>
  <si>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</si>
  <si>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</si>
  <si>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</si>
  <si>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</si>
  <si>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</si>
  <si>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</si>
  <si>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</si>
  <si>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</si>
  <si>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</si>
  <si>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</si>
  <si>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</si>
  <si>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</si>
  <si>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</si>
  <si>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</si>
  <si>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</si>
  <si>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</si>
  <si>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</si>
  <si>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</si>
  <si>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</si>
  <si>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</si>
  <si>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</si>
  <si>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</si>
  <si>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</si>
  <si>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</si>
  <si>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</si>
  <si>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</si>
  <si>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</si>
  <si>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</si>
  <si>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</si>
  <si>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</si>
  <si>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</si>
  <si>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</si>
  <si>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</si>
  <si>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</si>
  <si>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</si>
  <si>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</si>
  <si>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</si>
  <si>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</si>
  <si>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</si>
  <si>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</si>
  <si>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</si>
  <si>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</si>
  <si>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</si>
  <si>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</si>
  <si>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</si>
  <si>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</si>
  <si>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</si>
  <si>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</si>
  <si>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</si>
  <si>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</si>
  <si>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</si>
  <si>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</si>
  <si>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</si>
  <si>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</si>
  <si>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</si>
  <si>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</si>
  <si>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</si>
  <si>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</si>
  <si>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</si>
  <si>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</si>
  <si>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</si>
  <si>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</si>
  <si>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</si>
  <si>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</si>
  <si>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</si>
  <si>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</si>
  <si>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</si>
  <si>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</si>
  <si>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</si>
  <si>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</si>
  <si>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</si>
  <si>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</si>
  <si>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</si>
  <si>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</si>
  <si>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</si>
  <si>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</si>
  <si>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</si>
  <si>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</si>
  <si>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</si>
  <si>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</si>
  <si>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</si>
  <si>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</si>
  <si>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</si>
  <si>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</si>
  <si>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</si>
  <si>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</si>
  <si>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</si>
  <si>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</si>
  <si>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</si>
  <si>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</si>
  <si>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</si>
  <si>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</si>
  <si>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</si>
  <si>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</si>
  <si>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</si>
  <si>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</si>
  <si>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</si>
  <si>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</si>
  <si>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</si>
  <si>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</si>
  <si>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</si>
  <si>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</si>
  <si>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</si>
  <si>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</si>
  <si>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</si>
  <si>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</si>
  <si>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</si>
  <si>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</si>
  <si>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</si>
  <si>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</si>
  <si>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</si>
  <si>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</si>
  <si>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</si>
  <si>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</si>
  <si>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</si>
  <si>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</si>
  <si>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</si>
  <si>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</si>
  <si>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</si>
  <si>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</si>
  <si>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</si>
  <si>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</si>
  <si>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</si>
  <si>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</si>
  <si>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</si>
  <si>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</si>
  <si>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</si>
  <si>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</si>
  <si>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</si>
  <si>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</si>
  <si>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</si>
  <si>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</si>
  <si>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</si>
  <si>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</si>
  <si>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</si>
  <si>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</si>
  <si>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</si>
  <si>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</si>
  <si>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</si>
  <si>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</si>
  <si>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</si>
  <si>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</si>
  <si>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</si>
  <si>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</si>
  <si>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</si>
  <si>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</si>
  <si>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</si>
  <si>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</si>
  <si>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</si>
  <si>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</si>
  <si>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</si>
  <si>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</si>
  <si>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</si>
  <si>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</si>
  <si>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</si>
  <si>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</si>
  <si>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</si>
  <si>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</si>
  <si>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</si>
  <si>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</si>
  <si>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</si>
  <si>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</si>
  <si>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</si>
  <si>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</si>
  <si>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</si>
  <si>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</si>
  <si>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</si>
  <si>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</si>
  <si>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</si>
  <si>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</si>
  <si>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</si>
  <si>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</si>
  <si>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</si>
  <si>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</si>
  <si>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</si>
  <si>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</si>
  <si>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</si>
  <si>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</si>
  <si>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</si>
  <si>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</si>
  <si>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</si>
  <si>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</si>
  <si>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</si>
  <si>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</si>
  <si>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</si>
  <si>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</si>
  <si>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</si>
  <si>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</si>
  <si>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</si>
  <si>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</si>
  <si>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</si>
  <si>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</si>
  <si>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</si>
  <si>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</si>
  <si>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</si>
  <si>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</si>
  <si>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</si>
  <si>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</si>
  <si>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</si>
  <si>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</si>
  <si>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</si>
  <si>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</si>
  <si>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</si>
  <si>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</si>
  <si>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</si>
  <si>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</si>
  <si>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</si>
  <si>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</si>
  <si>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</si>
  <si>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</si>
  <si>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</si>
  <si>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</si>
  <si>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</si>
  <si>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</si>
  <si>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</si>
  <si>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</si>
  <si>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</si>
  <si>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</si>
  <si>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</si>
  <si>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</si>
  <si>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</si>
  <si>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</si>
  <si>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</si>
  <si>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</si>
  <si>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</si>
  <si>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</si>
  <si>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</si>
  <si>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</si>
  <si>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</si>
  <si>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</si>
  <si>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</si>
  <si>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</si>
  <si>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</si>
  <si>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</si>
  <si>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</si>
  <si>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</si>
  <si>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</si>
  <si>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</si>
  <si>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</si>
  <si>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</si>
  <si>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</si>
  <si>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</si>
  <si>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</si>
  <si>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</si>
  <si>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</si>
  <si>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</si>
  <si>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</si>
  <si>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</si>
  <si>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</si>
  <si>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</si>
  <si>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</si>
  <si>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</si>
  <si>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</si>
  <si>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</si>
  <si>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</si>
  <si>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</si>
  <si>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</si>
  <si>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</si>
  <si>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</si>
  <si>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</si>
  <si>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</si>
  <si>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</si>
  <si>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</si>
  <si>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</si>
  <si>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</si>
  <si>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</si>
  <si>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</si>
  <si>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</si>
  <si>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</si>
  <si>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</si>
  <si>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</si>
  <si>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</si>
  <si>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</si>
  <si>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</si>
  <si>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</si>
  <si>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</si>
  <si>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</si>
  <si>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</si>
  <si>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</si>
  <si>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</si>
  <si>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</si>
  <si>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</si>
  <si>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</si>
  <si>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</si>
  <si>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</si>
  <si>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</si>
  <si>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</si>
  <si>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</si>
  <si>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</si>
  <si>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</si>
  <si>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</si>
  <si>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</si>
  <si>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</si>
  <si>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</si>
  <si>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</si>
  <si>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</si>
  <si>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</si>
  <si>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</si>
  <si>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</si>
  <si>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</si>
  <si>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</si>
  <si>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</si>
  <si>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</si>
  <si>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</si>
  <si>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</si>
  <si>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</si>
  <si>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</si>
  <si>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</si>
  <si>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</si>
  <si>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</si>
  <si>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</si>
  <si>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</si>
  <si>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</si>
  <si>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</si>
  <si>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</si>
  <si>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</si>
  <si>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</si>
  <si>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</si>
  <si>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</si>
  <si>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</si>
  <si>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</si>
  <si>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</si>
  <si>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</si>
  <si>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</si>
  <si>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</si>
  <si>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</si>
  <si>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</si>
  <si>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</si>
  <si>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</si>
  <si>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</si>
  <si>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</si>
  <si>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</si>
  <si>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</si>
  <si>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</si>
  <si>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</si>
  <si>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</si>
  <si>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</si>
  <si>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</si>
  <si>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</si>
  <si>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</si>
  <si>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</si>
  <si>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</si>
  <si>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</si>
  <si>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</si>
  <si>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</si>
  <si>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</si>
  <si>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</si>
  <si>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</si>
  <si>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</si>
  <si>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</si>
  <si>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</si>
  <si>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</si>
  <si>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</si>
  <si>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</si>
  <si>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</si>
  <si>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</si>
  <si>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</si>
  <si>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</si>
  <si>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</si>
  <si>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</si>
  <si>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</si>
  <si>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</si>
  <si>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</si>
  <si>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</si>
  <si>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</si>
  <si>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</si>
  <si>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</si>
  <si>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</si>
  <si>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</si>
  <si>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</si>
  <si>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</si>
  <si>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</si>
  <si>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</si>
  <si>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</si>
  <si>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</si>
  <si>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</si>
  <si>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</si>
  <si>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</si>
  <si>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</si>
  <si>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</si>
  <si>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</si>
  <si>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</si>
  <si>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</si>
  <si>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</si>
  <si>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</si>
  <si>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</si>
  <si>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</si>
  <si>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</si>
  <si>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</si>
  <si>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</si>
  <si>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</si>
  <si>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</si>
  <si>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</si>
  <si>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</si>
  <si>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</si>
  <si>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</si>
  <si>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</si>
  <si>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</si>
  <si>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</si>
  <si>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</si>
  <si>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</si>
  <si>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</si>
  <si>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</si>
  <si>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</si>
  <si>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</si>
  <si>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</si>
  <si>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</si>
  <si>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</si>
  <si>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</si>
  <si>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</si>
  <si>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</si>
  <si>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</si>
  <si>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</si>
  <si>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</si>
  <si>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</si>
  <si>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</si>
  <si>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</si>
  <si>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</si>
  <si>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</si>
  <si>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</si>
  <si>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</si>
  <si>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</si>
  <si>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</si>
  <si>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</si>
  <si>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</si>
  <si>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</si>
  <si>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</si>
  <si>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</si>
  <si>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</si>
  <si>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</si>
  <si>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</si>
  <si>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</si>
  <si>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</si>
  <si>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</si>
  <si>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</si>
  <si>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</si>
  <si>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</si>
  <si>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</si>
  <si>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</si>
  <si>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</si>
  <si>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</si>
  <si>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</si>
  <si>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</si>
  <si>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</si>
  <si>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</si>
  <si>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</si>
  <si>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</si>
  <si>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</si>
  <si>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</si>
  <si>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</si>
  <si>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</si>
  <si>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</si>
  <si>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</si>
  <si>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</si>
  <si>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</si>
  <si>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</si>
  <si>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</si>
  <si>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</si>
  <si>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</si>
  <si>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</si>
  <si>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</si>
  <si>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</si>
  <si>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</si>
  <si>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</si>
  <si>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</si>
  <si>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</si>
  <si>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</si>
  <si>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</si>
  <si>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</si>
  <si>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</si>
  <si>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</si>
  <si>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</si>
  <si>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</si>
  <si>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</si>
  <si>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</si>
  <si>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</si>
  <si>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</si>
  <si>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</si>
  <si>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</si>
  <si>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</si>
  <si>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</si>
  <si>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</si>
  <si>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</si>
  <si>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</si>
  <si>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</si>
  <si>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</si>
  <si>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</si>
  <si>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</si>
  <si>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</si>
  <si>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</si>
  <si>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</si>
  <si>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</si>
  <si>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</si>
  <si>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</si>
  <si>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</si>
  <si>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</si>
  <si>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</si>
  <si>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</si>
  <si>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</si>
  <si>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</si>
  <si>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</si>
  <si>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</si>
  <si>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</si>
  <si>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</si>
  <si>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</si>
  <si>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</si>
  <si>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</si>
  <si>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</si>
  <si>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</si>
  <si>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</si>
  <si>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</si>
  <si>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</si>
  <si>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</si>
  <si>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</si>
  <si>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</si>
  <si>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</si>
  <si>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</si>
  <si>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</si>
  <si>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</si>
  <si>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</si>
  <si>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</si>
  <si>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</si>
  <si>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</si>
  <si>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</si>
  <si>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</si>
  <si>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</si>
  <si>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</si>
  <si>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</si>
  <si>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</si>
  <si>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</si>
  <si>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</si>
  <si>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</si>
  <si>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</si>
  <si>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</si>
  <si>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</si>
  <si>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</si>
  <si>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</si>
  <si>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</si>
  <si>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</si>
  <si>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</si>
  <si>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</si>
  <si>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</si>
  <si>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</si>
  <si>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</si>
  <si>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</si>
  <si>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</si>
  <si>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</si>
  <si>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</si>
  <si>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</si>
  <si>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</si>
  <si>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</si>
  <si>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</si>
  <si>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</si>
  <si>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</si>
  <si>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</si>
  <si>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</si>
  <si>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</si>
  <si>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</si>
  <si>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</si>
  <si>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</si>
  <si>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</si>
  <si>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</si>
  <si>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</si>
  <si>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</si>
  <si>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</si>
  <si>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</si>
  <si>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</si>
  <si>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</si>
  <si>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</si>
  <si>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</si>
  <si>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</si>
  <si>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</si>
  <si>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</si>
  <si>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</si>
  <si>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</si>
  <si>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</si>
  <si>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</si>
  <si>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</si>
  <si>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</si>
  <si>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</si>
  <si>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</si>
  <si>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</si>
  <si>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</si>
  <si>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</si>
  <si>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</si>
  <si>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</si>
  <si>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</si>
  <si>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</si>
  <si>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</si>
  <si>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</si>
  <si>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</si>
  <si>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</si>
  <si>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</si>
  <si>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</si>
  <si>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</si>
  <si>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</si>
  <si>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</si>
  <si>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</si>
  <si>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</si>
  <si>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</si>
  <si>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</si>
  <si>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</si>
  <si>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</si>
  <si>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</si>
  <si>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</si>
  <si>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</si>
  <si>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</si>
  <si>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</si>
  <si>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</si>
  <si>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</si>
  <si>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</si>
  <si>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</si>
  <si>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</si>
  <si>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</si>
  <si>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</si>
  <si>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</si>
  <si>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</si>
  <si>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</si>
  <si>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</si>
  <si>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</si>
  <si>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</si>
  <si>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</si>
  <si>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</si>
  <si>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</si>
  <si>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</si>
  <si>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</si>
  <si>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</si>
  <si>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</si>
  <si>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</si>
  <si>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</si>
  <si>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</si>
  <si>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</si>
  <si>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</si>
  <si>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</si>
  <si>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</si>
  <si>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</si>
  <si>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</si>
  <si>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</si>
  <si>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</si>
  <si>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</si>
  <si>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</si>
  <si>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</si>
  <si>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</si>
  <si>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</si>
  <si>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</si>
  <si>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</si>
  <si>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</si>
  <si>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</si>
  <si>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</si>
  <si>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</si>
  <si>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</si>
  <si>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</si>
  <si>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</si>
  <si>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</si>
  <si>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</si>
  <si>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</si>
  <si>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</si>
  <si>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</si>
  <si>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</si>
  <si>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</si>
  <si>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</si>
  <si>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</si>
  <si>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</si>
  <si>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</si>
  <si>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</si>
  <si>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</si>
  <si>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</si>
  <si>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</si>
  <si>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</si>
  <si>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</si>
  <si>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</si>
  <si>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</si>
  <si>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</si>
  <si>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</si>
  <si>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</si>
  <si>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</si>
  <si>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</si>
  <si>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</si>
  <si>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</si>
  <si>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</si>
  <si>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</si>
  <si>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</si>
  <si>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</si>
  <si>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</si>
  <si>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</si>
  <si>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</si>
  <si>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</si>
  <si>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</si>
  <si>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</si>
  <si>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</si>
  <si>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</si>
  <si>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</si>
  <si>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</si>
  <si>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</si>
  <si>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</si>
  <si>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</si>
  <si>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</si>
  <si>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</si>
  <si>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</si>
  <si>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</si>
  <si>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</si>
  <si>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</si>
  <si>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</si>
  <si>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</si>
  <si>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</si>
  <si>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</si>
  <si>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</si>
  <si>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</si>
  <si>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</si>
  <si>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</si>
  <si>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</si>
  <si>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</si>
  <si>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</si>
  <si>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</si>
  <si>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</si>
  <si>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</si>
  <si>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</si>
  <si>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</si>
  <si>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</si>
  <si>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</si>
  <si>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</si>
  <si>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</si>
  <si>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</si>
  <si>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</si>
  <si>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</si>
  <si>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</si>
  <si>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</si>
  <si>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</si>
  <si>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</si>
  <si>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</si>
  <si>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</si>
  <si>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</si>
  <si>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</si>
  <si>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</si>
  <si>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</si>
  <si>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</si>
  <si>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</si>
  <si>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</si>
  <si>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</si>
  <si>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</si>
  <si>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</si>
  <si>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</si>
  <si>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</si>
  <si>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</si>
  <si>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</si>
  <si>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</si>
  <si>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</si>
  <si>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</si>
  <si>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</si>
  <si>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</si>
  <si>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</si>
  <si>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</si>
  <si>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</si>
  <si>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</si>
  <si>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</si>
  <si>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</si>
  <si>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</si>
  <si>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</si>
  <si>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</si>
  <si>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</si>
  <si>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</si>
  <si>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</si>
  <si>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</si>
  <si>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</si>
  <si>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</si>
  <si>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</si>
  <si>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</si>
  <si>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</si>
  <si>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</si>
  <si>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</si>
  <si>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</si>
  <si>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</si>
  <si>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</si>
  <si>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</si>
  <si>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</si>
  <si>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</si>
  <si>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</si>
  <si>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</si>
  <si>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</si>
  <si>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</si>
  <si>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</si>
  <si>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</si>
  <si>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</si>
  <si>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</si>
  <si>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</si>
  <si>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</si>
  <si>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</si>
  <si>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</si>
  <si>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</si>
  <si>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</si>
  <si>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</si>
  <si>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</si>
  <si>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</si>
  <si>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</si>
  <si>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</si>
  <si>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</si>
  <si>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</si>
  <si>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</si>
  <si>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</si>
  <si>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</si>
  <si>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</si>
  <si>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</si>
  <si>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</si>
  <si>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</si>
  <si>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</si>
  <si>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</si>
  <si>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</si>
  <si>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</si>
  <si>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</si>
  <si>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</si>
  <si>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</si>
  <si>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</si>
  <si>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</si>
  <si>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</si>
  <si>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</si>
  <si>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</si>
  <si>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</si>
  <si>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</si>
  <si>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</si>
  <si>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</si>
  <si>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</si>
  <si>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</si>
  <si>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</si>
  <si>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</si>
  <si>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</si>
  <si>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</si>
  <si>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</si>
  <si>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</si>
  <si>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</si>
  <si>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</si>
  <si>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</si>
  <si>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</si>
  <si>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</si>
  <si>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</si>
  <si>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</si>
  <si>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</si>
  <si>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</si>
  <si>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</si>
  <si>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</si>
  <si>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</si>
  <si>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</si>
  <si>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</si>
  <si>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</si>
  <si>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</si>
  <si>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</si>
  <si>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</si>
  <si>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</si>
  <si>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</si>
  <si>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</si>
  <si>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</si>
  <si>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</si>
  <si>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</si>
  <si>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</si>
  <si>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</si>
  <si>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</si>
  <si>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</si>
  <si>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</si>
  <si>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</si>
  <si>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</si>
  <si>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</si>
  <si>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</si>
  <si>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</si>
  <si>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</si>
  <si>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</si>
  <si>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</si>
  <si>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</si>
  <si>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</si>
  <si>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</si>
  <si>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</si>
  <si>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</si>
  <si>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</si>
  <si>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</si>
  <si>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</si>
  <si>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</si>
  <si>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</si>
  <si>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</si>
  <si>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</si>
  <si>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</si>
  <si>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</si>
  <si>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</si>
  <si>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</si>
  <si>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</si>
  <si>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</si>
  <si>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</si>
  <si>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</si>
  <si>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</si>
  <si>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</si>
  <si>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</si>
  <si>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</si>
  <si>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</si>
  <si>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</si>
  <si>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</si>
  <si>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</si>
  <si>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</si>
  <si>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</si>
  <si>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</si>
  <si>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</si>
  <si>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</si>
  <si>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</si>
  <si>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</si>
  <si>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</si>
  <si>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</si>
  <si>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</si>
  <si>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</si>
  <si>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</si>
  <si>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</si>
  <si>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</si>
  <si>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</si>
  <si>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</si>
  <si>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</si>
  <si>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</si>
  <si>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</si>
  <si>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</si>
  <si>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</si>
  <si>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</si>
  <si>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</si>
  <si>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</si>
  <si>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</si>
  <si>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</si>
  <si>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</si>
  <si>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</si>
  <si>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</si>
  <si>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</si>
  <si>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</si>
  <si>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</si>
  <si>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</si>
  <si>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</si>
  <si>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</si>
  <si>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</si>
  <si>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</si>
  <si>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</si>
  <si>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</si>
  <si>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</si>
  <si>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</si>
  <si>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</si>
  <si>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</si>
  <si>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</si>
  <si>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</si>
  <si>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</si>
  <si>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</si>
  <si>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</si>
  <si>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</si>
  <si>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</si>
  <si>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</si>
  <si>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</si>
  <si>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</si>
  <si>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</si>
  <si>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</si>
  <si>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</si>
  <si>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</si>
  <si>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</si>
  <si>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</si>
  <si>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</si>
  <si>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</si>
  <si>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</si>
  <si>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</si>
  <si>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</si>
  <si>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</si>
  <si>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</si>
  <si>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</si>
  <si>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</si>
  <si>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</si>
  <si>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</si>
  <si>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</si>
  <si>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</si>
  <si>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</si>
  <si>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</si>
  <si>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</si>
  <si>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</si>
  <si>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</si>
  <si>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</si>
  <si>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</si>
  <si>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</si>
  <si>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</si>
  <si>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</si>
  <si>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</si>
  <si>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</si>
  <si>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</si>
  <si>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</si>
  <si>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</si>
  <si>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</si>
  <si>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</si>
  <si>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</si>
  <si>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</si>
  <si>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</si>
  <si>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</si>
  <si>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</si>
  <si>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</si>
  <si>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</si>
  <si>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</si>
  <si>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</si>
  <si>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</si>
  <si>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</si>
  <si>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</si>
  <si>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</si>
  <si>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</si>
  <si>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</si>
  <si>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</si>
  <si>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</si>
  <si>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</si>
  <si>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</si>
  <si>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</si>
  <si>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</si>
  <si>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</si>
  <si>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</si>
  <si>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</si>
  <si>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</si>
  <si>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</si>
  <si>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</si>
  <si>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</si>
  <si>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</si>
  <si>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</si>
  <si>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</si>
  <si>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</si>
  <si>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</si>
  <si>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</si>
  <si>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</si>
  <si>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</si>
  <si>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</si>
  <si>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</si>
  <si>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</si>
  <si>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</si>
  <si>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</si>
  <si>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</si>
  <si>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</si>
  <si>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</si>
  <si>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</si>
  <si>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</si>
  <si>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</si>
  <si>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</si>
  <si>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</si>
  <si>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</si>
  <si>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</si>
  <si>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</si>
  <si>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</si>
  <si>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</si>
  <si>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</si>
  <si>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</si>
  <si>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</si>
  <si>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</si>
  <si>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</si>
  <si>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</si>
  <si>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</si>
  <si>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</si>
  <si>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</si>
  <si>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</si>
  <si>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</si>
  <si>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</si>
  <si>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</si>
  <si>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</si>
  <si>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</si>
  <si>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</si>
  <si>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</si>
  <si>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</si>
  <si>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</si>
  <si>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</si>
  <si>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</si>
  <si>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</si>
  <si>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</si>
  <si>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</si>
  <si>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</si>
  <si>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</si>
  <si>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</si>
  <si>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</si>
  <si>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</si>
  <si>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</si>
  <si>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</si>
  <si>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</si>
  <si>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</si>
  <si>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</si>
  <si>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</si>
  <si>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</si>
  <si>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</si>
  <si>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</si>
  <si>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</si>
  <si>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</si>
  <si>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</si>
  <si>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</si>
  <si>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</si>
  <si>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</si>
  <si>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</si>
  <si>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</si>
  <si>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</si>
  <si>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</si>
  <si>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</si>
  <si>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</si>
  <si>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</si>
  <si>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</si>
  <si>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</si>
  <si>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</si>
  <si>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</si>
  <si>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</si>
  <si>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</si>
  <si>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</si>
  <si>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</si>
  <si>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</si>
  <si>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</si>
  <si>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</si>
  <si>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</si>
  <si>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</si>
  <si>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</si>
  <si>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</si>
  <si>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</si>
  <si>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</si>
  <si>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</si>
  <si>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</si>
  <si>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</si>
  <si>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</si>
  <si>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</si>
  <si>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</si>
  <si>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</si>
  <si>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</si>
  <si>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</si>
  <si>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</si>
  <si>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</si>
  <si>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</si>
  <si>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</si>
  <si>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</si>
  <si>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</si>
  <si>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</si>
  <si>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</si>
  <si>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</si>
  <si>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</si>
  <si>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</si>
  <si>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</si>
  <si>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</si>
  <si>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</si>
  <si>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</si>
  <si>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</si>
  <si>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</si>
  <si>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</si>
  <si>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</si>
  <si>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</si>
  <si>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</si>
  <si>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</si>
  <si>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</si>
  <si>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</si>
  <si>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</si>
  <si>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</si>
  <si>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</si>
  <si>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</si>
  <si>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</si>
  <si>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</si>
  <si>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</si>
  <si>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</si>
  <si>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</si>
  <si>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</si>
  <si>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</si>
  <si>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</si>
  <si>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</si>
  <si>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</si>
  <si>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</si>
  <si>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</si>
  <si>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</si>
  <si>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</si>
  <si>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</si>
  <si>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</si>
  <si>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</si>
  <si>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</si>
  <si>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</si>
  <si>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</si>
  <si>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</si>
  <si>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</si>
  <si>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</si>
  <si>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</si>
  <si>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</si>
  <si>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</si>
  <si>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</si>
  <si>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</si>
  <si>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</si>
  <si>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</si>
  <si>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</si>
  <si>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</si>
  <si>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</si>
  <si>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</si>
  <si>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</si>
  <si>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</si>
  <si>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</si>
  <si>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</si>
  <si>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</si>
  <si>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</si>
  <si>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</si>
  <si>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</si>
  <si>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</si>
  <si>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</si>
  <si>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</si>
  <si>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</si>
  <si>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</si>
  <si>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</si>
  <si>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</si>
  <si>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</si>
  <si>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</si>
  <si>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</si>
  <si>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</si>
  <si>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</si>
  <si>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</si>
  <si>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</si>
  <si>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</si>
  <si>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</si>
  <si>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</si>
  <si>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</si>
  <si>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</si>
  <si>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</si>
  <si>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</si>
  <si>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</si>
  <si>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</si>
  <si>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</si>
  <si>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</si>
  <si>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</si>
  <si>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</si>
  <si>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</si>
  <si>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</si>
  <si>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</si>
  <si>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</si>
  <si>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</si>
  <si>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</si>
  <si>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</si>
  <si>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</si>
  <si>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</si>
  <si>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</si>
  <si>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</si>
  <si>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</si>
  <si>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</si>
  <si>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</si>
  <si>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</si>
  <si>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</si>
  <si>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</si>
  <si>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</si>
  <si>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</si>
  <si>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</si>
  <si>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</si>
  <si>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</si>
  <si>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</si>
  <si>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</si>
  <si>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</si>
  <si>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</si>
  <si>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</si>
  <si>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</si>
  <si>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</si>
  <si>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</si>
  <si>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</si>
  <si>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</si>
  <si>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</si>
  <si>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</si>
  <si>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</si>
  <si>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</si>
  <si>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</si>
  <si>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</si>
  <si>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</si>
  <si>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</si>
  <si>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</si>
  <si>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</si>
  <si>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</si>
  <si>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</si>
  <si>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</si>
  <si>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</si>
  <si>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</si>
  <si>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</si>
  <si>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</si>
  <si>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</si>
  <si>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</si>
  <si>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</si>
  <si>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</si>
  <si>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</si>
  <si>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</si>
  <si>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</si>
  <si>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</si>
  <si>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</si>
  <si>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</si>
  <si>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</si>
  <si>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</si>
  <si>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</si>
  <si>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</si>
  <si>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</si>
  <si>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</si>
  <si>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</si>
  <si>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</si>
  <si>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</si>
  <si>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</si>
  <si>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</si>
  <si>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</si>
  <si>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</si>
  <si>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</si>
  <si>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</si>
  <si>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</si>
  <si>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</si>
  <si>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</si>
  <si>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</si>
  <si>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</si>
  <si>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</si>
  <si>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</si>
  <si>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</si>
  <si>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</si>
  <si>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</si>
  <si>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</si>
  <si>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</si>
  <si>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</si>
  <si>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</si>
  <si>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</si>
  <si>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</si>
  <si>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</si>
  <si>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</si>
  <si>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</si>
  <si>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</si>
  <si>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</si>
  <si>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</si>
  <si>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</si>
  <si>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</si>
  <si>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</si>
  <si>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</si>
  <si>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</si>
  <si>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</si>
  <si>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</si>
  <si>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</si>
  <si>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</si>
  <si>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</si>
  <si>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</si>
  <si>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</si>
  <si>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</si>
  <si>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</si>
  <si>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</si>
  <si>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</si>
  <si>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</si>
  <si>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</si>
  <si>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</si>
  <si>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</si>
  <si>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</si>
  <si>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</si>
  <si>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</si>
  <si>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</si>
  <si>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</si>
  <si>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</si>
  <si>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</si>
  <si>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</si>
  <si>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</si>
  <si>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</si>
  <si>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</si>
  <si>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</si>
  <si>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</si>
  <si>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</si>
  <si>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</si>
  <si>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</si>
  <si>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</si>
  <si>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</si>
  <si>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</si>
  <si>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</si>
  <si>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</si>
  <si>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</si>
  <si>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</si>
  <si>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</si>
  <si>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</si>
  <si>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</si>
  <si>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</si>
  <si>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</si>
  <si>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</si>
  <si>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</si>
  <si>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</si>
  <si>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</si>
  <si>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</si>
  <si>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</si>
  <si>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</si>
  <si>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</si>
  <si>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</si>
  <si>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</si>
  <si>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</si>
  <si>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</si>
  <si>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</si>
  <si>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</si>
  <si>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</si>
  <si>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</si>
  <si>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</si>
  <si>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</si>
  <si>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</si>
  <si>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</si>
  <si>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</si>
  <si>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</si>
  <si>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</si>
  <si>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</si>
  <si>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</si>
  <si>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</si>
  <si>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</si>
  <si>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</si>
  <si>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</si>
  <si>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</si>
  <si>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</si>
  <si>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</si>
  <si>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</si>
  <si>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</si>
  <si>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</si>
  <si>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</si>
  <si>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</si>
  <si>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</si>
  <si>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</si>
  <si>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</si>
  <si>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</si>
  <si>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</si>
  <si>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</si>
  <si>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</si>
  <si>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</si>
  <si>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</si>
  <si>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</si>
  <si>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</si>
  <si>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</si>
  <si>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</si>
  <si>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</si>
  <si>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</si>
  <si>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</si>
  <si>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</si>
  <si>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</si>
  <si>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</si>
  <si>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</si>
  <si>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</si>
  <si>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</si>
  <si>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</si>
  <si>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</si>
  <si>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</si>
  <si>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</si>
  <si>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</si>
  <si>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</si>
  <si>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</si>
  <si>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</si>
  <si>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</si>
  <si>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</si>
  <si>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</si>
  <si>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</si>
  <si>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</si>
  <si>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</si>
  <si>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</si>
  <si>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</si>
  <si>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</si>
  <si>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</si>
  <si>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</si>
  <si>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</si>
  <si>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</si>
  <si>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</si>
  <si>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</si>
  <si>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</si>
  <si>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</si>
  <si>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</si>
  <si>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</si>
  <si>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</si>
  <si>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</si>
  <si>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</si>
  <si>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</si>
  <si>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</si>
  <si>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</si>
  <si>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</si>
  <si>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</si>
  <si>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</si>
  <si>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</si>
  <si>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</si>
  <si>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</si>
  <si>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</si>
  <si>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</si>
  <si>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</si>
  <si>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</si>
  <si>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</si>
  <si>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</si>
  <si>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</si>
  <si>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</si>
  <si>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</si>
  <si>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</si>
  <si>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</si>
  <si>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</si>
  <si>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</si>
  <si>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</si>
  <si>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</si>
  <si>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</si>
  <si>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</si>
  <si>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</si>
  <si>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</si>
  <si>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</si>
  <si>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</si>
  <si>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</si>
  <si>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</si>
  <si>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</si>
  <si>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</si>
  <si>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</si>
  <si>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</si>
  <si>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</si>
  <si>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</si>
  <si>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</si>
  <si>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</si>
  <si>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</si>
  <si>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</si>
  <si>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</si>
  <si>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</si>
  <si>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</si>
  <si>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</si>
  <si>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</si>
  <si>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</si>
  <si>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</si>
  <si>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</si>
  <si>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</si>
  <si>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</si>
  <si>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</si>
  <si>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</si>
  <si>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</si>
  <si>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</si>
  <si>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</si>
  <si>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</si>
  <si>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</si>
  <si>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</si>
  <si>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</si>
  <si>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</si>
  <si>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</si>
  <si>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</si>
  <si>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</si>
  <si>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</si>
  <si>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</si>
  <si>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</si>
  <si>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</si>
  <si>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</si>
  <si>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</si>
  <si>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</si>
  <si>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</si>
  <si>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</si>
  <si>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</si>
  <si>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</si>
  <si>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</si>
  <si>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</si>
  <si>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</si>
  <si>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</si>
  <si>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</si>
  <si>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</si>
  <si>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</si>
  <si>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</si>
  <si>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</si>
  <si>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</si>
  <si>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</si>
  <si>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</si>
  <si>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</si>
  <si>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</si>
  <si>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</si>
  <si>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</si>
  <si>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</si>
  <si>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</si>
  <si>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</si>
  <si>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</si>
  <si>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</si>
  <si>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</si>
  <si>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</si>
  <si>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</si>
  <si>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</si>
  <si>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</si>
  <si>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</si>
  <si>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</si>
  <si>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</si>
  <si>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</si>
  <si>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</si>
  <si>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</si>
  <si>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</si>
  <si>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</si>
  <si>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</si>
  <si>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</si>
  <si>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</si>
  <si>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</si>
  <si>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</si>
  <si>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</si>
  <si>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</si>
  <si>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</si>
  <si>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</si>
  <si>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</si>
  <si>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</si>
  <si>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</si>
  <si>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</si>
  <si>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</si>
  <si>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</si>
  <si>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</si>
  <si>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</si>
  <si>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</si>
  <si>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</si>
  <si>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</si>
  <si>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</si>
  <si>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</si>
  <si>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</si>
  <si>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</si>
  <si>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</si>
  <si>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</si>
  <si>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</si>
  <si>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</si>
  <si>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</si>
  <si>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</si>
  <si>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</si>
  <si>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</si>
  <si>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</si>
  <si>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</si>
  <si>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</si>
  <si>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</si>
  <si>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</si>
  <si>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</si>
  <si>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</si>
  <si>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</si>
  <si>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</si>
  <si>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</si>
  <si>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</si>
  <si>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</si>
  <si>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</si>
  <si>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</si>
  <si>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</si>
  <si>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</si>
  <si>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</si>
  <si>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</si>
  <si>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</si>
  <si>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</si>
  <si>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</si>
  <si>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</si>
  <si>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</si>
  <si>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</si>
  <si>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</si>
  <si>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</si>
  <si>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</si>
  <si>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</si>
  <si>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</si>
  <si>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</si>
  <si>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</si>
  <si>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</si>
  <si>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</si>
  <si>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</si>
  <si>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</si>
  <si>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</si>
  <si>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</si>
  <si>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</si>
  <si>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</si>
  <si>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</si>
  <si>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</si>
  <si>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</si>
  <si>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</si>
  <si>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</si>
  <si>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</si>
  <si>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</si>
  <si>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</si>
  <si>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</si>
  <si>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</si>
  <si>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</si>
  <si>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</si>
  <si>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</si>
  <si>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</si>
  <si>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</si>
  <si>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</si>
  <si>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</si>
  <si>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</si>
  <si>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</si>
  <si>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</si>
  <si>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</si>
  <si>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</si>
  <si>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</si>
  <si>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</si>
  <si>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</si>
  <si>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</si>
  <si>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</si>
  <si>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</si>
  <si>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</si>
  <si>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</si>
  <si>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</si>
  <si>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</si>
  <si>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</si>
  <si>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</si>
  <si>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</si>
  <si>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</si>
  <si>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</si>
  <si>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</si>
  <si>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</si>
  <si>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</si>
  <si>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</si>
  <si>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</si>
  <si>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</si>
  <si>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</si>
  <si>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</si>
  <si>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</si>
  <si>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</si>
  <si>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</si>
  <si>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</si>
  <si>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</si>
  <si>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</si>
  <si>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茨城県</t>
    <rPh sb="0" eb="3">
      <t>イバラキケン</t>
    </rPh>
    <phoneticPr fontId="12"/>
  </si>
  <si>
    <t>シャカイフクシホウジン　チョウフク</t>
    <phoneticPr fontId="12"/>
  </si>
  <si>
    <t>社会福祉法人　長福</t>
    <phoneticPr fontId="12"/>
  </si>
  <si>
    <t>310</t>
    <phoneticPr fontId="12"/>
  </si>
  <si>
    <t>8555</t>
    <phoneticPr fontId="12"/>
  </si>
  <si>
    <t>茨城県水戸市笠原町978-6</t>
    <phoneticPr fontId="12"/>
  </si>
  <si>
    <t>○○ビル○○号室</t>
    <phoneticPr fontId="12"/>
  </si>
  <si>
    <t>理事長</t>
    <phoneticPr fontId="12"/>
  </si>
  <si>
    <t>長福　一郎</t>
    <phoneticPr fontId="12"/>
  </si>
  <si>
    <t>1234567891234</t>
    <phoneticPr fontId="12"/>
  </si>
  <si>
    <t>チョウフク　ジロウ</t>
    <phoneticPr fontId="12"/>
  </si>
  <si>
    <t>長福　二郎</t>
    <phoneticPr fontId="12"/>
  </si>
  <si>
    <t>000-0000-0000</t>
    <phoneticPr fontId="12"/>
  </si>
  <si>
    <t>aaa@aaa.com</t>
    <phoneticPr fontId="12"/>
  </si>
  <si>
    <t>水戸市</t>
    <rPh sb="0" eb="3">
      <t>ミトシ</t>
    </rPh>
    <phoneticPr fontId="10"/>
  </si>
  <si>
    <t>訪問介護事業所　○○</t>
    <rPh sb="4" eb="7">
      <t>ジギョウショ</t>
    </rPh>
    <phoneticPr fontId="10"/>
  </si>
  <si>
    <t>0811111111</t>
  </si>
  <si>
    <t>0811111112</t>
  </si>
  <si>
    <t>0811111113</t>
  </si>
  <si>
    <t>0811111114</t>
  </si>
  <si>
    <t>0811111115</t>
  </si>
  <si>
    <t>0811111116</t>
  </si>
  <si>
    <t>0811111117</t>
  </si>
  <si>
    <t>0811111118</t>
  </si>
  <si>
    <t>0811111119</t>
  </si>
  <si>
    <t>0811111120</t>
  </si>
  <si>
    <t>0811111121</t>
  </si>
  <si>
    <t>0811111122</t>
  </si>
  <si>
    <t>0811111123</t>
  </si>
  <si>
    <t>0811111124</t>
  </si>
  <si>
    <t>0811111125</t>
  </si>
  <si>
    <t>0811111126</t>
  </si>
  <si>
    <t>0811111127</t>
  </si>
  <si>
    <t>0811111128</t>
  </si>
  <si>
    <t>0811111129</t>
  </si>
  <si>
    <t>0811111130</t>
  </si>
  <si>
    <t>0811111131</t>
  </si>
  <si>
    <t>0811111132</t>
  </si>
  <si>
    <t>0811111133</t>
  </si>
  <si>
    <t>0811111134</t>
  </si>
  <si>
    <t>日立市</t>
    <rPh sb="0" eb="3">
      <t>ヒタチシ</t>
    </rPh>
    <phoneticPr fontId="10"/>
  </si>
  <si>
    <t>土浦市</t>
    <rPh sb="0" eb="3">
      <t>ツチウラシ</t>
    </rPh>
    <phoneticPr fontId="10"/>
  </si>
  <si>
    <t>茨城県</t>
    <rPh sb="0" eb="3">
      <t>イバラキケン</t>
    </rPh>
    <phoneticPr fontId="10"/>
  </si>
  <si>
    <t>石岡市</t>
    <rPh sb="0" eb="3">
      <t>イシオカシ</t>
    </rPh>
    <phoneticPr fontId="10"/>
  </si>
  <si>
    <t>結城市</t>
    <rPh sb="0" eb="3">
      <t>ユウキシ</t>
    </rPh>
    <phoneticPr fontId="10"/>
  </si>
  <si>
    <t>常総市</t>
    <rPh sb="0" eb="3">
      <t>ジョウソウシ</t>
    </rPh>
    <phoneticPr fontId="10"/>
  </si>
  <si>
    <t>常陸太田市</t>
    <rPh sb="0" eb="5">
      <t>ヒタチオオタシ</t>
    </rPh>
    <phoneticPr fontId="10"/>
  </si>
  <si>
    <t>高萩市</t>
    <rPh sb="0" eb="3">
      <t>タカハギシ</t>
    </rPh>
    <phoneticPr fontId="10"/>
  </si>
  <si>
    <t>北茨城市</t>
    <rPh sb="0" eb="4">
      <t>キタイバラキシ</t>
    </rPh>
    <phoneticPr fontId="10"/>
  </si>
  <si>
    <t>笠間市</t>
    <rPh sb="0" eb="3">
      <t>カサマシ</t>
    </rPh>
    <phoneticPr fontId="10"/>
  </si>
  <si>
    <t>牛久市</t>
    <rPh sb="0" eb="3">
      <t>ウシクシ</t>
    </rPh>
    <phoneticPr fontId="10"/>
  </si>
  <si>
    <t>つくば市</t>
    <rPh sb="3" eb="4">
      <t>シ</t>
    </rPh>
    <phoneticPr fontId="10"/>
  </si>
  <si>
    <t>那珂市</t>
    <rPh sb="0" eb="3">
      <t>ナカシ</t>
    </rPh>
    <phoneticPr fontId="10"/>
  </si>
  <si>
    <t>筑西市</t>
    <rPh sb="0" eb="3">
      <t>チクセイシ</t>
    </rPh>
    <phoneticPr fontId="10"/>
  </si>
  <si>
    <t>坂東市</t>
    <rPh sb="0" eb="3">
      <t>バンドウシ</t>
    </rPh>
    <phoneticPr fontId="10"/>
  </si>
  <si>
    <t>訪問介護事業所　○○</t>
  </si>
  <si>
    <t>夜間対応型訪問介護事業所　○○</t>
    <rPh sb="0" eb="5">
      <t>ヤカンタイオウガタ</t>
    </rPh>
    <phoneticPr fontId="10"/>
  </si>
  <si>
    <t>定期巡回・随時対応型
訪問介護看護事業所　○○</t>
    <rPh sb="0" eb="4">
      <t>テイキジュンカイ</t>
    </rPh>
    <rPh sb="5" eb="10">
      <t>ズイジタイオウガタ</t>
    </rPh>
    <rPh sb="15" eb="17">
      <t>カンゴ</t>
    </rPh>
    <phoneticPr fontId="10"/>
  </si>
  <si>
    <t>訪問入浴介護事業所　○○</t>
    <rPh sb="2" eb="4">
      <t>ニュウヨク</t>
    </rPh>
    <phoneticPr fontId="10"/>
  </si>
  <si>
    <t>通所介護事業所　○○</t>
    <rPh sb="0" eb="2">
      <t>ツウショ</t>
    </rPh>
    <phoneticPr fontId="10"/>
  </si>
  <si>
    <t>○○デイサービス</t>
  </si>
  <si>
    <t>○○デイケアセンター</t>
  </si>
  <si>
    <t>特定施設入居者生活介護事業所　○○</t>
    <rPh sb="0" eb="2">
      <t>トクテイ</t>
    </rPh>
    <rPh sb="2" eb="4">
      <t>シセツ</t>
    </rPh>
    <rPh sb="4" eb="7">
      <t>ニュウキョシャ</t>
    </rPh>
    <rPh sb="7" eb="9">
      <t>セイカツ</t>
    </rPh>
    <rPh sb="9" eb="11">
      <t>カイゴ</t>
    </rPh>
    <rPh sb="11" eb="14">
      <t>ジギョウショ</t>
    </rPh>
    <phoneticPr fontId="10"/>
  </si>
  <si>
    <t>介護付きホーム　○○</t>
  </si>
  <si>
    <t>デイサービスセンター　○○</t>
  </si>
  <si>
    <t>小規模多機能型居宅介護事業所　○○</t>
    <rPh sb="11" eb="14">
      <t>ジギョウショ</t>
    </rPh>
    <phoneticPr fontId="10"/>
  </si>
  <si>
    <t>看護小規模多機能型居宅介護事業所　○○</t>
    <rPh sb="13" eb="16">
      <t>ジギョウショ</t>
    </rPh>
    <phoneticPr fontId="10"/>
  </si>
  <si>
    <t>グループホーム　○○</t>
  </si>
  <si>
    <t>特別養護老人ホーム　○○</t>
    <rPh sb="0" eb="6">
      <t>トクベツヨウゴロウジン</t>
    </rPh>
    <phoneticPr fontId="10"/>
  </si>
  <si>
    <t>地域密着型介護老人福祉施設　○○</t>
    <rPh sb="0" eb="5">
      <t>チイキミッチャクガタ</t>
    </rPh>
    <rPh sb="5" eb="13">
      <t>カイゴロウジンフクシシセツ</t>
    </rPh>
    <phoneticPr fontId="10"/>
  </si>
  <si>
    <t>ショートステイ　○○</t>
  </si>
  <si>
    <t>介護老人保健施設　○○</t>
    <rPh sb="0" eb="8">
      <t>カイゴロウジンホケンシセツ</t>
    </rPh>
    <phoneticPr fontId="10"/>
  </si>
  <si>
    <t>○○病院</t>
    <rPh sb="2" eb="4">
      <t>ビョウイン</t>
    </rPh>
    <phoneticPr fontId="10"/>
  </si>
  <si>
    <t>介護医療院　○○</t>
    <rPh sb="0" eb="5">
      <t>カイゴイリョウイン</t>
    </rPh>
    <phoneticPr fontId="10"/>
  </si>
  <si>
    <t>訪問看護ステーション　○○</t>
    <rPh sb="0" eb="4">
      <t>ホウモンカンゴ</t>
    </rPh>
    <phoneticPr fontId="10"/>
  </si>
  <si>
    <t>訪問リハビリテーション　○○</t>
    <rPh sb="0" eb="2">
      <t>ホウモン</t>
    </rPh>
    <phoneticPr fontId="10"/>
  </si>
  <si>
    <t>居宅介護支援事業所　○○</t>
    <rPh sb="0" eb="9">
      <t>キョタクカイゴシエンジギョウショ</t>
    </rPh>
    <phoneticPr fontId="10"/>
  </si>
  <si>
    <t>○○ケアプランセンター</t>
  </si>
  <si>
    <t>○○地域包括支援センター</t>
    <rPh sb="2" eb="8">
      <t>チイキホウカツシエン</t>
    </rPh>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</si>
  <si>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</si>
  <si>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</si>
  <si>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</si>
  <si>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訪問入浴介護</t>
  </si>
  <si>
    <t>介護予防訪問入浴介護</t>
  </si>
  <si>
    <t>通所リハビリテーション</t>
  </si>
  <si>
    <t>介護予防通所リハビリテーション</t>
  </si>
  <si>
    <t>特定施設入居者生活介護</t>
  </si>
  <si>
    <t>特定施設入居者生活介護（短期利用型）</t>
    <rPh sb="12" eb="14">
      <t>タンキ</t>
    </rPh>
    <rPh sb="14" eb="16">
      <t>リヨウ</t>
    </rPh>
    <rPh sb="16" eb="17">
      <t>ガタ</t>
    </rPh>
    <phoneticPr fontId="10"/>
  </si>
  <si>
    <t>介護予防特定施設入居者生活介護</t>
  </si>
  <si>
    <t>地域密着型特定施設入居者生活介護（短期利用型）</t>
    <rPh sb="17" eb="22">
      <t>タンキリヨウガタ</t>
    </rPh>
    <phoneticPr fontId="10"/>
  </si>
  <si>
    <t>認知症対応型通所介護</t>
  </si>
  <si>
    <t>介護予防認知症対応型通所介護</t>
  </si>
  <si>
    <t>小規模多機能型居宅介護（短期利用型）</t>
    <rPh sb="12" eb="17">
      <t>タンキリヨウガタ</t>
    </rPh>
    <phoneticPr fontId="10"/>
  </si>
  <si>
    <t>介護予防小規模多機能型居宅介護</t>
  </si>
  <si>
    <t>介護予防小規模多機能型居宅介護（短期利用型）</t>
  </si>
  <si>
    <t>看護小規模多機能型居宅介護（短期利用型）</t>
    <rPh sb="14" eb="19">
      <t>タンキリヨウガタ</t>
    </rPh>
    <phoneticPr fontId="10"/>
  </si>
  <si>
    <t>認知症対応型共同生活介護（短期利用型）</t>
  </si>
  <si>
    <t>介護予防認知症対応型共同生活介護（短期利用型）</t>
  </si>
  <si>
    <t>短期入所療養介護 （病院等)</t>
  </si>
  <si>
    <t>介護予防短期入所療養介護 （病院等)</t>
  </si>
  <si>
    <t>短期入所療養介護 （医療院)</t>
    <rPh sb="10" eb="12">
      <t>イリョウ</t>
    </rPh>
    <rPh sb="12" eb="13">
      <t>イン</t>
    </rPh>
    <phoneticPr fontId="10"/>
  </si>
  <si>
    <t>介護予防短期入所療養介護 （医療院)</t>
    <rPh sb="14" eb="16">
      <t>イリョウ</t>
    </rPh>
    <rPh sb="16" eb="17">
      <t>イン</t>
    </rPh>
    <phoneticPr fontId="10"/>
  </si>
  <si>
    <t>居宅介護支援</t>
  </si>
  <si>
    <t>介護予防支援</t>
  </si>
  <si>
    <t>介護予防ケアマネジメント</t>
    <rPh sb="0" eb="2">
      <t>カイゴ</t>
    </rPh>
    <rPh sb="2" eb="4">
      <t>ヨボウ</t>
    </rPh>
    <phoneticPr fontId="10"/>
  </si>
  <si>
    <t>処遇改善加算Ⅰ</t>
    <phoneticPr fontId="12"/>
  </si>
  <si>
    <t>処遇改善加算Ⅱ</t>
    <phoneticPr fontId="12"/>
  </si>
  <si>
    <t>処遇改善加算Ⅳ</t>
    <phoneticPr fontId="12"/>
  </si>
  <si>
    <t>○</t>
  </si>
  <si>
    <t>ケアプランデータ連携システムを利用している</t>
  </si>
  <si>
    <t>処遇改善加算Ⅰイ</t>
  </si>
  <si>
    <t>処遇改善加算Ⅰロ</t>
  </si>
  <si>
    <t>処遇改善加算Ⅱロ</t>
  </si>
  <si>
    <t>処遇改善加算Ⅱイ</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</si>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</sst>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2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40" xfId="0" applyNumberFormat="1" applyFont="1" applyFill="1" applyBorder="1" applyAlignment="1" applyProtection="1">
      <alignment horizontal="center" vertical="center"/>
      <protection locked="0"/>
    </xf>
    <xf numFmtId="49" fontId="41" fillId="27" borderId="21" xfId="0" applyNumberFormat="1" applyFont="1" applyFill="1" applyBorder="1" applyAlignment="1" applyProtection="1">
      <alignment horizontal="center" vertical="center"/>
      <protection locked="0"/>
    </xf>
    <xf numFmtId="49" fontId="41" fillId="27" borderId="56" xfId="0" applyNumberFormat="1" applyFont="1" applyFill="1" applyBorder="1" applyAlignment="1" applyProtection="1">
      <alignment horizontal="center" vertical="center"/>
      <protection locked="0"/>
    </xf>
    <xf numFmtId="0" fontId="41" fillId="27" borderId="54" xfId="0" applyFont="1" applyFill="1" applyBorder="1" applyAlignment="1" applyProtection="1">
      <alignment vertical="center"/>
      <protection locked="0"/>
    </xf>
    <xf numFmtId="0" fontId="41" fillId="27" borderId="21" xfId="0" applyFont="1" applyFill="1" applyBorder="1" applyAlignment="1" applyProtection="1">
      <alignment vertical="center"/>
      <protection locked="0"/>
    </xf>
    <xf numFmtId="0" fontId="41" fillId="27" borderId="56" xfId="0" applyFont="1" applyFill="1" applyBorder="1" applyAlignment="1" applyProtection="1">
      <alignment vertical="center"/>
      <protection locked="0"/>
    </xf>
    <xf numFmtId="0" fontId="41" fillId="27" borderId="54" xfId="0" applyFont="1" applyFill="1" applyBorder="1" applyAlignment="1" applyProtection="1">
      <alignment vertical="center" wrapText="1"/>
      <protection locked="0"/>
    </xf>
    <xf numFmtId="0" fontId="41" fillId="27" borderId="21" xfId="0" applyFont="1" applyFill="1" applyBorder="1" applyAlignment="1" applyProtection="1">
      <alignment vertical="center" wrapText="1"/>
      <protection locked="0"/>
    </xf>
    <xf numFmtId="0" fontId="41" fillId="27" borderId="56"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876901" y="75213"/>
          <a:ext cx="1088390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937260" y="250469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937260" y="238595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937260" y="250469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182880" y="306628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182880" y="306628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937260" y="1881949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937260" y="23606760"/>
              <a:ext cx="144780" cy="2514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937260" y="1881568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937260" y="23606760"/>
              <a:ext cx="148590" cy="2514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937260" y="18815685"/>
              <a:ext cx="148590" cy="50425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937260" y="23797260"/>
              <a:ext cx="148590" cy="609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937260" y="18819495"/>
              <a:ext cx="144780" cy="50387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937260" y="23797260"/>
              <a:ext cx="144780" cy="609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937260" y="2052828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937260" y="2052828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937260" y="2341626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937260" y="2341626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6225540" y="2256282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6225540" y="2256282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0" width="9" customWidth="1"/>
    <col min="41" max="43" width="9" hidden="1" customWidth="1"/>
  </cols>
  <sheetData>
    <row r="1" spans="1:41" s="240"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6"/>
      <c r="AO1" s="487" t="s">
        <v>1</v>
      </c>
    </row>
    <row r="2" spans="1:41" s="240"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8"/>
    </row>
    <row r="3" spans="1:41" s="489"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1"/>
    </row>
    <row r="4" spans="1:41" s="240"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674" t="s">
        <v>2488</v>
      </c>
      <c r="D11" s="675"/>
      <c r="E11" s="675"/>
      <c r="F11" s="675"/>
      <c r="G11" s="675"/>
      <c r="H11" s="675"/>
      <c r="I11" s="675"/>
      <c r="J11" s="675"/>
      <c r="K11" s="675"/>
      <c r="L11" s="675"/>
      <c r="M11" s="675"/>
      <c r="N11" s="675"/>
      <c r="O11" s="675"/>
      <c r="P11" s="675"/>
      <c r="Q11" s="675"/>
      <c r="R11" s="676"/>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2489</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2490</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2491</v>
      </c>
      <c r="M17" s="698"/>
      <c r="N17" s="698"/>
      <c r="O17" s="699"/>
      <c r="P17" s="493" t="s">
        <v>15</v>
      </c>
      <c r="Q17" s="700" t="s">
        <v>2492</v>
      </c>
      <c r="R17" s="701"/>
      <c r="S17" s="701"/>
      <c r="T17" s="701"/>
      <c r="U17" s="702"/>
      <c r="V17" s="490"/>
      <c r="W17" s="490"/>
      <c r="X17" s="490"/>
      <c r="Y17" s="490"/>
      <c r="Z17" s="490"/>
      <c r="AB17" s="16"/>
      <c r="AC17" s="16"/>
      <c r="AD17" s="16"/>
      <c r="AO17" s="283" t="s">
        <v>16</v>
      </c>
    </row>
    <row r="18" spans="1:41" ht="44.1" customHeight="1">
      <c r="A18" s="695"/>
      <c r="B18" s="696" t="s">
        <v>17</v>
      </c>
      <c r="C18" s="696"/>
      <c r="D18" s="696"/>
      <c r="E18" s="696"/>
      <c r="F18" s="696"/>
      <c r="G18" s="696"/>
      <c r="H18" s="696"/>
      <c r="I18" s="696"/>
      <c r="J18" s="696"/>
      <c r="K18" s="696"/>
      <c r="L18" s="677" t="s">
        <v>2493</v>
      </c>
      <c r="M18" s="678"/>
      <c r="N18" s="678"/>
      <c r="O18" s="678"/>
      <c r="P18" s="678"/>
      <c r="Q18" s="678"/>
      <c r="R18" s="678"/>
      <c r="S18" s="678"/>
      <c r="T18" s="678"/>
      <c r="U18" s="678"/>
      <c r="V18" s="678"/>
      <c r="W18" s="678"/>
      <c r="X18" s="678"/>
      <c r="Y18" s="678"/>
      <c r="Z18" s="678"/>
      <c r="AA18" s="678"/>
      <c r="AB18" s="678"/>
      <c r="AC18" s="678"/>
      <c r="AD18" s="678"/>
      <c r="AE18" s="678"/>
      <c r="AF18" s="679"/>
      <c r="AO18" s="283" t="str">
        <f>L17&amp;"-"&amp;Q17</f>
        <v>310-8555</v>
      </c>
    </row>
    <row r="19" spans="1:41" ht="38.25" customHeight="1">
      <c r="A19" s="655"/>
      <c r="B19" s="696" t="s">
        <v>18</v>
      </c>
      <c r="C19" s="696"/>
      <c r="D19" s="696"/>
      <c r="E19" s="696"/>
      <c r="F19" s="696"/>
      <c r="G19" s="696"/>
      <c r="H19" s="696"/>
      <c r="I19" s="696"/>
      <c r="J19" s="696"/>
      <c r="K19" s="696"/>
      <c r="L19" s="680" t="s">
        <v>2494</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2495</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2496</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2497</v>
      </c>
      <c r="M22" s="685"/>
      <c r="N22" s="685"/>
      <c r="O22" s="685"/>
      <c r="P22" s="685"/>
      <c r="Q22" s="685"/>
      <c r="R22" s="685"/>
      <c r="S22" s="685"/>
      <c r="T22" s="685"/>
      <c r="U22" s="685"/>
      <c r="V22" s="686"/>
      <c r="W22" s="494"/>
      <c r="X22" s="494"/>
      <c r="Y22" s="494"/>
      <c r="Z22" s="494"/>
      <c r="AA22" s="495"/>
      <c r="AB22" s="495"/>
      <c r="AC22" s="495"/>
      <c r="AD22" s="495"/>
      <c r="AE22" s="495"/>
      <c r="AF22" s="495"/>
    </row>
    <row r="23" spans="1:41" ht="20.100000000000001" customHeight="1">
      <c r="A23" s="652" t="s">
        <v>23</v>
      </c>
      <c r="B23" s="660" t="s">
        <v>11</v>
      </c>
      <c r="C23" s="660"/>
      <c r="D23" s="660"/>
      <c r="E23" s="660"/>
      <c r="F23" s="660"/>
      <c r="G23" s="660"/>
      <c r="H23" s="660"/>
      <c r="I23" s="660"/>
      <c r="J23" s="660"/>
      <c r="K23" s="660"/>
      <c r="L23" s="661" t="s">
        <v>2498</v>
      </c>
      <c r="M23" s="662"/>
      <c r="N23" s="662"/>
      <c r="O23" s="662"/>
      <c r="P23" s="662"/>
      <c r="Q23" s="662"/>
      <c r="R23" s="662"/>
      <c r="S23" s="662"/>
      <c r="T23" s="662"/>
      <c r="U23" s="662"/>
      <c r="V23" s="662"/>
      <c r="W23" s="662"/>
      <c r="X23" s="663"/>
      <c r="Y23" s="494"/>
      <c r="Z23" s="494"/>
      <c r="AA23" s="495"/>
      <c r="AB23" s="495"/>
      <c r="AC23" s="495"/>
      <c r="AD23" s="495"/>
      <c r="AE23" s="495"/>
      <c r="AF23" s="495"/>
    </row>
    <row r="24" spans="1:41" ht="20.100000000000001" customHeight="1">
      <c r="A24" s="653"/>
      <c r="B24" s="667" t="s">
        <v>21</v>
      </c>
      <c r="C24" s="667"/>
      <c r="D24" s="667"/>
      <c r="E24" s="667"/>
      <c r="F24" s="667"/>
      <c r="G24" s="667"/>
      <c r="H24" s="667"/>
      <c r="I24" s="667"/>
      <c r="J24" s="667"/>
      <c r="K24" s="667"/>
      <c r="L24" s="661" t="s">
        <v>2499</v>
      </c>
      <c r="M24" s="662"/>
      <c r="N24" s="662"/>
      <c r="O24" s="662"/>
      <c r="P24" s="662"/>
      <c r="Q24" s="662"/>
      <c r="R24" s="662"/>
      <c r="S24" s="662"/>
      <c r="T24" s="662"/>
      <c r="U24" s="662"/>
      <c r="V24" s="662"/>
      <c r="W24" s="662"/>
      <c r="X24" s="663"/>
      <c r="Y24" s="494"/>
      <c r="Z24" s="494"/>
      <c r="AA24" s="495"/>
      <c r="AB24" s="495"/>
      <c r="AC24" s="495"/>
      <c r="AD24" s="495"/>
      <c r="AE24" s="495"/>
      <c r="AF24" s="495"/>
    </row>
    <row r="25" spans="1:41" ht="20.100000000000001" customHeight="1">
      <c r="A25" s="654" t="s">
        <v>24</v>
      </c>
      <c r="B25" s="660" t="s">
        <v>25</v>
      </c>
      <c r="C25" s="660"/>
      <c r="D25" s="660"/>
      <c r="E25" s="660"/>
      <c r="F25" s="660"/>
      <c r="G25" s="660"/>
      <c r="H25" s="660"/>
      <c r="I25" s="660"/>
      <c r="J25" s="660"/>
      <c r="K25" s="660"/>
      <c r="L25" s="661" t="s">
        <v>2500</v>
      </c>
      <c r="M25" s="662"/>
      <c r="N25" s="662"/>
      <c r="O25" s="662"/>
      <c r="P25" s="662"/>
      <c r="Q25" s="662"/>
      <c r="R25" s="662"/>
      <c r="S25" s="662"/>
      <c r="T25" s="662"/>
      <c r="U25" s="662"/>
      <c r="V25" s="662"/>
      <c r="W25" s="662"/>
      <c r="X25" s="663"/>
      <c r="Y25" s="494"/>
      <c r="Z25" s="494"/>
      <c r="AA25" s="495"/>
      <c r="AB25" s="495"/>
      <c r="AC25" s="495"/>
      <c r="AD25" s="495"/>
      <c r="AE25" s="495"/>
      <c r="AF25" s="495"/>
    </row>
    <row r="26" spans="1:41" ht="20.100000000000001" customHeight="1">
      <c r="A26" s="655"/>
      <c r="B26" s="660" t="s">
        <v>26</v>
      </c>
      <c r="C26" s="660"/>
      <c r="D26" s="660"/>
      <c r="E26" s="660"/>
      <c r="F26" s="660"/>
      <c r="G26" s="660"/>
      <c r="H26" s="660"/>
      <c r="I26" s="660"/>
      <c r="J26" s="660"/>
      <c r="K26" s="660"/>
      <c r="L26" s="664" t="s">
        <v>2501</v>
      </c>
      <c r="M26" s="665"/>
      <c r="N26" s="665"/>
      <c r="O26" s="665"/>
      <c r="P26" s="665"/>
      <c r="Q26" s="665"/>
      <c r="R26" s="665"/>
      <c r="S26" s="665"/>
      <c r="T26" s="665"/>
      <c r="U26" s="665"/>
      <c r="V26" s="665"/>
      <c r="W26" s="665"/>
      <c r="X26" s="666"/>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40" customFormat="1" ht="23.5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500" t="str">
        <f>IF(L16="","",IF(AND(W33="✓",W34="✓",W35="✓",W36="✓"),"○","×"))</f>
        <v>○</v>
      </c>
    </row>
    <row r="32" spans="1:41" s="240" customFormat="1" ht="17.5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16</v>
      </c>
      <c r="U33" s="689"/>
      <c r="V33" s="479" t="s">
        <v>33</v>
      </c>
      <c r="W33" s="231" t="s">
        <v>2602</v>
      </c>
      <c r="Y33" s="239"/>
      <c r="Z33" s="239"/>
      <c r="AA33" s="239"/>
      <c r="AB33" s="239"/>
      <c r="AC33" s="239"/>
      <c r="AD33" s="239"/>
      <c r="AE33" s="239"/>
      <c r="AF33" s="239"/>
      <c r="AG33" s="239"/>
    </row>
    <row r="34" spans="1:43" s="240"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7</v>
      </c>
      <c r="U34" s="689"/>
      <c r="V34" s="479" t="s">
        <v>33</v>
      </c>
      <c r="W34" s="232" t="s">
        <v>2602</v>
      </c>
      <c r="Y34" s="239"/>
      <c r="Z34" s="239"/>
      <c r="AA34" s="239"/>
      <c r="AB34" s="239"/>
      <c r="AC34" s="239"/>
      <c r="AD34" s="239"/>
      <c r="AE34" s="239"/>
      <c r="AF34" s="239"/>
      <c r="AG34" s="239"/>
    </row>
    <row r="35" spans="1:43" s="240"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7</v>
      </c>
      <c r="U35" s="689"/>
      <c r="V35" s="479" t="s">
        <v>33</v>
      </c>
      <c r="W35" s="232" t="s">
        <v>2602</v>
      </c>
      <c r="Y35" s="239"/>
      <c r="Z35" s="239"/>
      <c r="AA35" s="239"/>
      <c r="AB35" s="239"/>
      <c r="AC35" s="239"/>
      <c r="AD35" s="239"/>
      <c r="AE35" s="239"/>
      <c r="AF35" s="239"/>
      <c r="AG35" s="239"/>
    </row>
    <row r="36" spans="1:43" s="240"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24</v>
      </c>
      <c r="U36" s="689"/>
      <c r="V36" s="479" t="s">
        <v>33</v>
      </c>
      <c r="W36" s="233" t="s">
        <v>2602</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93" t="s">
        <v>37</v>
      </c>
      <c r="B38" s="704" t="s">
        <v>38</v>
      </c>
      <c r="C38" s="705"/>
      <c r="D38" s="705"/>
      <c r="E38" s="705"/>
      <c r="F38" s="705"/>
      <c r="G38" s="705"/>
      <c r="H38" s="705"/>
      <c r="I38" s="705"/>
      <c r="J38" s="705"/>
      <c r="K38" s="706"/>
      <c r="L38" s="704" t="s">
        <v>39</v>
      </c>
      <c r="M38" s="705"/>
      <c r="N38" s="705"/>
      <c r="O38" s="705"/>
      <c r="P38" s="706"/>
      <c r="Q38" s="719" t="s">
        <v>40</v>
      </c>
      <c r="R38" s="720"/>
      <c r="S38" s="720"/>
      <c r="T38" s="720"/>
      <c r="U38" s="720"/>
      <c r="V38" s="721"/>
      <c r="W38" s="643" t="s">
        <v>41</v>
      </c>
      <c r="X38" s="643"/>
      <c r="Y38" s="643"/>
      <c r="Z38" s="643" t="s">
        <v>42</v>
      </c>
      <c r="AA38" s="643"/>
      <c r="AB38" s="643"/>
      <c r="AC38" s="687" t="s">
        <v>43</v>
      </c>
      <c r="AD38" s="636" t="s">
        <v>44</v>
      </c>
      <c r="AE38" s="722" t="s">
        <v>45</v>
      </c>
      <c r="AF38" s="639" t="s">
        <v>46</v>
      </c>
      <c r="AG38" s="706" t="s">
        <v>47</v>
      </c>
      <c r="AH38"/>
      <c r="AI38"/>
      <c r="AJ38"/>
      <c r="AK38"/>
      <c r="AL38"/>
      <c r="AM38"/>
      <c r="AN38"/>
    </row>
    <row r="39" spans="1:43" s="240" customFormat="1" ht="47.5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80" t="s">
        <v>49</v>
      </c>
      <c r="W39" s="636"/>
      <c r="X39" s="636"/>
      <c r="Y39" s="636"/>
      <c r="Z39" s="636"/>
      <c r="AA39" s="636"/>
      <c r="AB39" s="636"/>
      <c r="AC39" s="688"/>
      <c r="AD39" s="637"/>
      <c r="AE39" s="723"/>
      <c r="AF39" s="640"/>
      <c r="AG39" s="709"/>
      <c r="AH39"/>
      <c r="AI39"/>
      <c r="AJ39"/>
      <c r="AK39"/>
      <c r="AL39"/>
      <c r="AM39"/>
      <c r="AN39"/>
    </row>
    <row r="40" spans="1:43" ht="45" customHeight="1">
      <c r="A40" s="237">
        <v>1</v>
      </c>
      <c r="B40" s="710" t="s">
        <v>2504</v>
      </c>
      <c r="C40" s="711"/>
      <c r="D40" s="711"/>
      <c r="E40" s="711"/>
      <c r="F40" s="711"/>
      <c r="G40" s="711"/>
      <c r="H40" s="711"/>
      <c r="I40" s="711"/>
      <c r="J40" s="711"/>
      <c r="K40" s="712"/>
      <c r="L40" s="716" t="s">
        <v>2502</v>
      </c>
      <c r="M40" s="717"/>
      <c r="N40" s="717"/>
      <c r="O40" s="717"/>
      <c r="P40" s="718"/>
      <c r="Q40" s="713" t="s">
        <v>448</v>
      </c>
      <c r="R40" s="714"/>
      <c r="S40" s="714"/>
      <c r="T40" s="714"/>
      <c r="U40" s="715"/>
      <c r="V40" s="632" t="s">
        <v>839</v>
      </c>
      <c r="W40" s="644" t="s">
        <v>2503</v>
      </c>
      <c r="X40" s="645"/>
      <c r="Y40" s="646"/>
      <c r="Z40" s="644" t="s">
        <v>385</v>
      </c>
      <c r="AA40" s="645"/>
      <c r="AB40" s="646"/>
      <c r="AC40" s="235" t="str">
        <f>IFERROR(VLOOKUP(Z40,【参考】数式用!$A$4:$B$57,2,FALSE),"")</f>
        <v>11</v>
      </c>
      <c r="AD40" s="482">
        <v>1000000</v>
      </c>
      <c r="AE40" s="483">
        <v>224000</v>
      </c>
      <c r="AF40" s="238">
        <f>AD40-AE40</f>
        <v>776000</v>
      </c>
      <c r="AG40" s="66">
        <f>IF(B40="","",IF(AQ40="総合事業","数式を削除して手入力",IFERROR(INDEX(【参考】数式用!$AD$3:$AF$452,MATCH(Q40&amp;V40,【参考】数式用!$AC$3:$AC$452,0),MATCH(VLOOKUP(Z40,【参考】数式用!$AG$2:$AH$56,2,FALSE),【参考】数式用!$AD$2:$AF$2,0)),10)))</f>
        <v>10.7</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8" t="s">
        <v>2504</v>
      </c>
      <c r="C41" s="649"/>
      <c r="D41" s="649"/>
      <c r="E41" s="649"/>
      <c r="F41" s="649"/>
      <c r="G41" s="649"/>
      <c r="H41" s="649"/>
      <c r="I41" s="649"/>
      <c r="J41" s="649"/>
      <c r="K41" s="649"/>
      <c r="L41" s="650" t="s">
        <v>2502</v>
      </c>
      <c r="M41" s="650"/>
      <c r="N41" s="650"/>
      <c r="O41" s="650"/>
      <c r="P41" s="650"/>
      <c r="Q41" s="703" t="s">
        <v>448</v>
      </c>
      <c r="R41" s="703"/>
      <c r="S41" s="703"/>
      <c r="T41" s="703"/>
      <c r="U41" s="703"/>
      <c r="V41" s="478" t="s">
        <v>839</v>
      </c>
      <c r="W41" s="635" t="s">
        <v>2543</v>
      </c>
      <c r="X41" s="635"/>
      <c r="Y41" s="635"/>
      <c r="Z41" s="635" t="s">
        <v>2567</v>
      </c>
      <c r="AA41" s="635"/>
      <c r="AB41" s="635"/>
      <c r="AC41" s="236" t="str">
        <f>IFERROR(VLOOKUP(Z41,【参考】数式用!$A$4:$B$57,2,FALSE),"")</f>
        <v>A2</v>
      </c>
      <c r="AD41" s="484">
        <v>1000000</v>
      </c>
      <c r="AE41" s="485">
        <v>224000</v>
      </c>
      <c r="AF41" s="238">
        <f t="shared" ref="AF41:AF105" si="0">AD41-AE41</f>
        <v>776000</v>
      </c>
      <c r="AG41" s="66">
        <v>10.7</v>
      </c>
      <c r="AP41" s="503" t="str">
        <f>IF($L$16="", "", VLOOKUP(Z41,【参考】数式用!$A$2:$O$57,14,FALSE))</f>
        <v>加算対象</v>
      </c>
      <c r="AQ41" s="283" t="str">
        <f>VLOOKUP(Z41,【参考】数式用!$A$2:$O$57,15,FALSE)</f>
        <v>総合事業</v>
      </c>
    </row>
    <row r="42" spans="1:43" ht="49.95" customHeight="1">
      <c r="A42" s="237">
        <f t="shared" ref="A42:A105" si="1">A41+1</f>
        <v>3</v>
      </c>
      <c r="B42" s="648" t="s">
        <v>2504</v>
      </c>
      <c r="C42" s="649"/>
      <c r="D42" s="649"/>
      <c r="E42" s="649"/>
      <c r="F42" s="649"/>
      <c r="G42" s="649"/>
      <c r="H42" s="649"/>
      <c r="I42" s="649"/>
      <c r="J42" s="649"/>
      <c r="K42" s="649"/>
      <c r="L42" s="650" t="s">
        <v>2502</v>
      </c>
      <c r="M42" s="650"/>
      <c r="N42" s="650"/>
      <c r="O42" s="650"/>
      <c r="P42" s="650"/>
      <c r="Q42" s="703" t="s">
        <v>448</v>
      </c>
      <c r="R42" s="703"/>
      <c r="S42" s="703"/>
      <c r="T42" s="703"/>
      <c r="U42" s="703"/>
      <c r="V42" s="478" t="s">
        <v>839</v>
      </c>
      <c r="W42" s="635" t="s">
        <v>2543</v>
      </c>
      <c r="X42" s="635"/>
      <c r="Y42" s="635"/>
      <c r="Z42" s="635" t="s">
        <v>2568</v>
      </c>
      <c r="AA42" s="635"/>
      <c r="AB42" s="635"/>
      <c r="AC42" s="236" t="str">
        <f>IFERROR(VLOOKUP(Z42,【参考】数式用!$A$4:$B$57,2,FALSE),"")</f>
        <v>A3</v>
      </c>
      <c r="AD42" s="484">
        <v>1000000</v>
      </c>
      <c r="AE42" s="485">
        <v>224000</v>
      </c>
      <c r="AF42" s="238">
        <f t="shared" si="0"/>
        <v>776000</v>
      </c>
      <c r="AG42" s="66">
        <v>10.7</v>
      </c>
      <c r="AP42" s="503" t="str">
        <f>IF($L$16="", "", VLOOKUP(Z42,【参考】数式用!$A$2:$O$57,14,FALSE))</f>
        <v>加算対象</v>
      </c>
      <c r="AQ42" s="283" t="str">
        <f>VLOOKUP(Z42,【参考】数式用!$A$2:$O$57,15,FALSE)</f>
        <v>総合事業</v>
      </c>
    </row>
    <row r="43" spans="1:43" ht="49.95" customHeight="1">
      <c r="A43" s="237">
        <f t="shared" si="1"/>
        <v>4</v>
      </c>
      <c r="B43" s="648" t="s">
        <v>2504</v>
      </c>
      <c r="C43" s="649"/>
      <c r="D43" s="649"/>
      <c r="E43" s="649"/>
      <c r="F43" s="649"/>
      <c r="G43" s="649"/>
      <c r="H43" s="649"/>
      <c r="I43" s="649"/>
      <c r="J43" s="649"/>
      <c r="K43" s="649"/>
      <c r="L43" s="650" t="s">
        <v>2502</v>
      </c>
      <c r="M43" s="650"/>
      <c r="N43" s="650"/>
      <c r="O43" s="650"/>
      <c r="P43" s="650"/>
      <c r="Q43" s="703" t="s">
        <v>448</v>
      </c>
      <c r="R43" s="703"/>
      <c r="S43" s="703"/>
      <c r="T43" s="703"/>
      <c r="U43" s="703"/>
      <c r="V43" s="478" t="s">
        <v>839</v>
      </c>
      <c r="W43" s="635" t="s">
        <v>2543</v>
      </c>
      <c r="X43" s="635"/>
      <c r="Y43" s="635"/>
      <c r="Z43" s="635" t="s">
        <v>2569</v>
      </c>
      <c r="AA43" s="635"/>
      <c r="AB43" s="635"/>
      <c r="AC43" s="236" t="str">
        <f>IFERROR(VLOOKUP(Z43,【参考】数式用!$A$4:$B$57,2,FALSE),"")</f>
        <v>A4</v>
      </c>
      <c r="AD43" s="484">
        <v>1000000</v>
      </c>
      <c r="AE43" s="485">
        <v>224000</v>
      </c>
      <c r="AF43" s="238">
        <f t="shared" ref="AF43" si="2">AD43-AE43</f>
        <v>776000</v>
      </c>
      <c r="AG43" s="66">
        <v>10.7</v>
      </c>
      <c r="AP43" s="503" t="str">
        <f>IF($L$16="", "", VLOOKUP(Z43,【参考】数式用!$A$2:$O$57,14,FALSE))</f>
        <v>加算対象</v>
      </c>
      <c r="AQ43" s="283" t="str">
        <f>VLOOKUP(Z43,【参考】数式用!$A$2:$O$57,15,FALSE)</f>
        <v>総合事業</v>
      </c>
    </row>
    <row r="44" spans="1:43" ht="49.95" customHeight="1">
      <c r="A44" s="237">
        <f t="shared" si="1"/>
        <v>5</v>
      </c>
      <c r="B44" s="648" t="s">
        <v>2505</v>
      </c>
      <c r="C44" s="649"/>
      <c r="D44" s="649"/>
      <c r="E44" s="649"/>
      <c r="F44" s="649"/>
      <c r="G44" s="649"/>
      <c r="H44" s="649"/>
      <c r="I44" s="649"/>
      <c r="J44" s="649"/>
      <c r="K44" s="649"/>
      <c r="L44" s="650" t="s">
        <v>2528</v>
      </c>
      <c r="M44" s="650"/>
      <c r="N44" s="650"/>
      <c r="O44" s="650"/>
      <c r="P44" s="650"/>
      <c r="Q44" s="703" t="s">
        <v>448</v>
      </c>
      <c r="R44" s="703"/>
      <c r="S44" s="703"/>
      <c r="T44" s="703"/>
      <c r="U44" s="703"/>
      <c r="V44" s="478" t="s">
        <v>841</v>
      </c>
      <c r="W44" s="635" t="s">
        <v>2544</v>
      </c>
      <c r="X44" s="635"/>
      <c r="Y44" s="635"/>
      <c r="Z44" s="635" t="s">
        <v>399</v>
      </c>
      <c r="AA44" s="635"/>
      <c r="AB44" s="635"/>
      <c r="AC44" s="236" t="str">
        <f>IFERROR(VLOOKUP(Z44,【参考】数式用!$A$4:$B$57,2,FALSE),"")</f>
        <v>71</v>
      </c>
      <c r="AD44" s="484">
        <v>1000000</v>
      </c>
      <c r="AE44" s="485">
        <v>224000</v>
      </c>
      <c r="AF44" s="238">
        <f t="shared" si="0"/>
        <v>776000</v>
      </c>
      <c r="AG44" s="66">
        <f>IF(B44="","",IF(AQ44="総合事業","数式を削除して手入力",IFERROR(INDEX(【参考】数式用!$AD$3:$AF$452,MATCH(Q44&amp;V44,【参考】数式用!$AC$3:$AC$452,0),MATCH(VLOOKUP(Z44,【参考】数式用!$AG$2:$AH$56,2,FALSE),【参考】数式用!$AD$2:$AF$2,0)),10)))</f>
        <v>10.7</v>
      </c>
      <c r="AP44" s="503" t="str">
        <f>IF($L$16="", "", VLOOKUP(Z44,【参考】数式用!$A$2:$O$57,14,FALSE))</f>
        <v>加算対象</v>
      </c>
      <c r="AQ44" s="283" t="str">
        <f>VLOOKUP(Z44,【参考】数式用!$A$2:$O$57,15,FALSE)</f>
        <v>その他</v>
      </c>
    </row>
    <row r="45" spans="1:43" ht="49.95" customHeight="1">
      <c r="A45" s="237">
        <f t="shared" si="1"/>
        <v>6</v>
      </c>
      <c r="B45" s="648" t="s">
        <v>2506</v>
      </c>
      <c r="C45" s="649"/>
      <c r="D45" s="649"/>
      <c r="E45" s="649"/>
      <c r="F45" s="649"/>
      <c r="G45" s="649"/>
      <c r="H45" s="649"/>
      <c r="I45" s="649"/>
      <c r="J45" s="649"/>
      <c r="K45" s="649"/>
      <c r="L45" s="650" t="s">
        <v>2529</v>
      </c>
      <c r="M45" s="650"/>
      <c r="N45" s="650"/>
      <c r="O45" s="650"/>
      <c r="P45" s="650"/>
      <c r="Q45" s="703" t="s">
        <v>448</v>
      </c>
      <c r="R45" s="703"/>
      <c r="S45" s="703"/>
      <c r="T45" s="703"/>
      <c r="U45" s="703"/>
      <c r="V45" s="478" t="s">
        <v>964</v>
      </c>
      <c r="W45" s="635" t="s">
        <v>2545</v>
      </c>
      <c r="X45" s="635"/>
      <c r="Y45" s="635"/>
      <c r="Z45" s="635" t="s">
        <v>410</v>
      </c>
      <c r="AA45" s="635"/>
      <c r="AB45" s="635"/>
      <c r="AC45" s="236" t="str">
        <f>IFERROR(VLOOKUP(Z45,【参考】数式用!$A$4:$B$57,2,FALSE),"")</f>
        <v>76</v>
      </c>
      <c r="AD45" s="484">
        <v>1000000</v>
      </c>
      <c r="AE45" s="485">
        <v>224000</v>
      </c>
      <c r="AF45" s="238">
        <f t="shared" si="0"/>
        <v>776000</v>
      </c>
      <c r="AG45" s="66">
        <f>IF(B45="","",IF(AQ45="総合事業","数式を削除して手入力",IFERROR(INDEX(【参考】数式用!$AD$3:$AF$452,MATCH(Q45&amp;V45,【参考】数式用!$AC$3:$AC$452,0),MATCH(VLOOKUP(Z45,【参考】数式用!$AG$2:$AH$56,2,FALSE),【参考】数式用!$AD$2:$AF$2,0)),10)))</f>
        <v>10.42</v>
      </c>
      <c r="AP45" s="503" t="str">
        <f>IF($L$16="", "", VLOOKUP(Z45,【参考】数式用!$A$2:$O$57,14,FALSE))</f>
        <v>加算対象</v>
      </c>
      <c r="AQ45" s="283" t="str">
        <f>VLOOKUP(Z45,【参考】数式用!$A$2:$O$57,15,FALSE)</f>
        <v>その他</v>
      </c>
    </row>
    <row r="46" spans="1:43" ht="49.95" customHeight="1">
      <c r="A46" s="237">
        <f t="shared" si="1"/>
        <v>7</v>
      </c>
      <c r="B46" s="648" t="s">
        <v>2507</v>
      </c>
      <c r="C46" s="649"/>
      <c r="D46" s="649"/>
      <c r="E46" s="649"/>
      <c r="F46" s="649"/>
      <c r="G46" s="649"/>
      <c r="H46" s="649"/>
      <c r="I46" s="649"/>
      <c r="J46" s="649"/>
      <c r="K46" s="649"/>
      <c r="L46" s="650" t="s">
        <v>2530</v>
      </c>
      <c r="M46" s="650"/>
      <c r="N46" s="650"/>
      <c r="O46" s="650"/>
      <c r="P46" s="650"/>
      <c r="Q46" s="703" t="s">
        <v>448</v>
      </c>
      <c r="R46" s="703"/>
      <c r="S46" s="703"/>
      <c r="T46" s="703"/>
      <c r="U46" s="703"/>
      <c r="V46" s="478" t="s">
        <v>966</v>
      </c>
      <c r="W46" s="635" t="s">
        <v>2546</v>
      </c>
      <c r="X46" s="635"/>
      <c r="Y46" s="635"/>
      <c r="Z46" s="635" t="s">
        <v>2570</v>
      </c>
      <c r="AA46" s="635"/>
      <c r="AB46" s="635"/>
      <c r="AC46" s="236" t="str">
        <f>IFERROR(VLOOKUP(Z46,【参考】数式用!$A$4:$B$57,2,FALSE),"")</f>
        <v>12</v>
      </c>
      <c r="AD46" s="137">
        <v>1000000</v>
      </c>
      <c r="AE46" s="138">
        <v>94000</v>
      </c>
      <c r="AF46" s="238">
        <f t="shared" si="0"/>
        <v>906000</v>
      </c>
      <c r="AG46" s="66">
        <f>IF(B46="","",IF(AQ46="総合事業","数式を削除して手入力",IFERROR(INDEX(【参考】数式用!$AD$3:$AF$452,MATCH(Q46&amp;V46,【参考】数式用!$AC$3:$AC$452,0),MATCH(VLOOKUP(Z46,【参考】数式用!$AG$2:$AH$56,2,FALSE),【参考】数式用!$AD$2:$AF$2,0)),10)))</f>
        <v>10.42</v>
      </c>
      <c r="AP46" s="503" t="str">
        <f>IF($L$16="", "", VLOOKUP(Z46,【参考】数式用!$A$2:$O$57,14,FALSE))</f>
        <v>加算対象</v>
      </c>
      <c r="AQ46" s="283" t="str">
        <f>VLOOKUP(Z46,【参考】数式用!$A$2:$O$57,15,FALSE)</f>
        <v>その他</v>
      </c>
    </row>
    <row r="47" spans="1:43" ht="49.95" customHeight="1">
      <c r="A47" s="237">
        <f t="shared" si="1"/>
        <v>8</v>
      </c>
      <c r="B47" s="648" t="s">
        <v>2507</v>
      </c>
      <c r="C47" s="649"/>
      <c r="D47" s="649"/>
      <c r="E47" s="649"/>
      <c r="F47" s="649"/>
      <c r="G47" s="649"/>
      <c r="H47" s="649"/>
      <c r="I47" s="649"/>
      <c r="J47" s="649"/>
      <c r="K47" s="649"/>
      <c r="L47" s="650" t="s">
        <v>2530</v>
      </c>
      <c r="M47" s="650"/>
      <c r="N47" s="650"/>
      <c r="O47" s="650"/>
      <c r="P47" s="650"/>
      <c r="Q47" s="703" t="s">
        <v>448</v>
      </c>
      <c r="R47" s="703"/>
      <c r="S47" s="703"/>
      <c r="T47" s="703"/>
      <c r="U47" s="703"/>
      <c r="V47" s="478" t="s">
        <v>966</v>
      </c>
      <c r="W47" s="635" t="s">
        <v>2546</v>
      </c>
      <c r="X47" s="635"/>
      <c r="Y47" s="635"/>
      <c r="Z47" s="635" t="s">
        <v>2571</v>
      </c>
      <c r="AA47" s="635"/>
      <c r="AB47" s="635"/>
      <c r="AC47" s="236" t="str">
        <f>IFERROR(VLOOKUP(Z47,【参考】数式用!$A$4:$B$57,2,FALSE),"")</f>
        <v>62</v>
      </c>
      <c r="AD47" s="137">
        <v>1000000</v>
      </c>
      <c r="AE47" s="138">
        <v>94000</v>
      </c>
      <c r="AF47" s="238">
        <f t="shared" si="0"/>
        <v>906000</v>
      </c>
      <c r="AG47" s="66">
        <f>IF(B47="","",IF(AQ47="総合事業","数式を削除して手入力",IFERROR(INDEX(【参考】数式用!$AD$3:$AF$452,MATCH(Q47&amp;V47,【参考】数式用!$AC$3:$AC$452,0),MATCH(VLOOKUP(Z47,【参考】数式用!$AG$2:$AH$56,2,FALSE),【参考】数式用!$AD$2:$AF$2,0)),10)))</f>
        <v>10.42</v>
      </c>
      <c r="AP47" s="503" t="str">
        <f>IF($L$16="", "", VLOOKUP(Z47,【参考】数式用!$A$2:$O$57,14,FALSE))</f>
        <v>加算対象</v>
      </c>
      <c r="AQ47" s="283" t="str">
        <f>VLOOKUP(Z47,【参考】数式用!$A$2:$O$57,15,FALSE)</f>
        <v>介護予防</v>
      </c>
    </row>
    <row r="48" spans="1:43" ht="49.95" customHeight="1">
      <c r="A48" s="237">
        <f t="shared" si="1"/>
        <v>9</v>
      </c>
      <c r="B48" s="648" t="s">
        <v>2508</v>
      </c>
      <c r="C48" s="649"/>
      <c r="D48" s="649"/>
      <c r="E48" s="649"/>
      <c r="F48" s="649"/>
      <c r="G48" s="649"/>
      <c r="H48" s="649"/>
      <c r="I48" s="649"/>
      <c r="J48" s="649"/>
      <c r="K48" s="649"/>
      <c r="L48" s="650" t="s">
        <v>2530</v>
      </c>
      <c r="M48" s="650"/>
      <c r="N48" s="650"/>
      <c r="O48" s="650"/>
      <c r="P48" s="650"/>
      <c r="Q48" s="703" t="s">
        <v>448</v>
      </c>
      <c r="R48" s="703"/>
      <c r="S48" s="703"/>
      <c r="T48" s="703"/>
      <c r="U48" s="703"/>
      <c r="V48" s="478" t="s">
        <v>1501</v>
      </c>
      <c r="W48" s="635" t="s">
        <v>2547</v>
      </c>
      <c r="X48" s="635"/>
      <c r="Y48" s="635"/>
      <c r="Z48" s="635" t="s">
        <v>436</v>
      </c>
      <c r="AA48" s="635"/>
      <c r="AB48" s="635"/>
      <c r="AC48" s="236" t="str">
        <f>IFERROR(VLOOKUP(Z48,【参考】数式用!$A$4:$B$57,2,FALSE),"")</f>
        <v>15</v>
      </c>
      <c r="AD48" s="137">
        <v>1000000</v>
      </c>
      <c r="AE48" s="138">
        <v>90000</v>
      </c>
      <c r="AF48" s="238">
        <f t="shared" si="0"/>
        <v>910000</v>
      </c>
      <c r="AG48" s="66">
        <f>IF(B48="","",IF(AQ48="総合事業","数式を削除して手入力",IFERROR(INDEX(【参考】数式用!$AD$3:$AF$452,MATCH(Q48&amp;V48,【参考】数式用!$AC$3:$AC$452,0),MATCH(VLOOKUP(Z48,【参考】数式用!$AG$2:$AH$56,2,FALSE),【参考】数式用!$AD$2:$AF$2,0)),10)))</f>
        <v>10</v>
      </c>
      <c r="AP48" s="503" t="str">
        <f>IF($L$16="", "", VLOOKUP(Z48,【参考】数式用!$A$2:$O$57,14,FALSE))</f>
        <v>加算対象</v>
      </c>
      <c r="AQ48" s="283" t="str">
        <f>VLOOKUP(Z48,【参考】数式用!$A$2:$O$57,15,FALSE)</f>
        <v>その他</v>
      </c>
    </row>
    <row r="49" spans="1:43" ht="49.95" customHeight="1">
      <c r="A49" s="237">
        <f t="shared" si="1"/>
        <v>10</v>
      </c>
      <c r="B49" s="648" t="s">
        <v>2508</v>
      </c>
      <c r="C49" s="649"/>
      <c r="D49" s="649"/>
      <c r="E49" s="649"/>
      <c r="F49" s="649"/>
      <c r="G49" s="649"/>
      <c r="H49" s="649"/>
      <c r="I49" s="649"/>
      <c r="J49" s="649"/>
      <c r="K49" s="649"/>
      <c r="L49" s="650" t="s">
        <v>2531</v>
      </c>
      <c r="M49" s="650"/>
      <c r="N49" s="650"/>
      <c r="O49" s="650"/>
      <c r="P49" s="650"/>
      <c r="Q49" s="703" t="s">
        <v>448</v>
      </c>
      <c r="R49" s="703"/>
      <c r="S49" s="703"/>
      <c r="T49" s="703"/>
      <c r="U49" s="703"/>
      <c r="V49" s="478" t="s">
        <v>1501</v>
      </c>
      <c r="W49" s="635" t="s">
        <v>2547</v>
      </c>
      <c r="X49" s="635"/>
      <c r="Y49" s="635"/>
      <c r="Z49" s="635" t="s">
        <v>722</v>
      </c>
      <c r="AA49" s="635"/>
      <c r="AB49" s="635"/>
      <c r="AC49" s="236" t="str">
        <f>IFERROR(VLOOKUP(Z49,【参考】数式用!$A$4:$B$57,2,FALSE),"")</f>
        <v>A6</v>
      </c>
      <c r="AD49" s="137">
        <v>1000000</v>
      </c>
      <c r="AE49" s="138">
        <v>90000</v>
      </c>
      <c r="AF49" s="238">
        <f t="shared" si="0"/>
        <v>910000</v>
      </c>
      <c r="AG49" s="66">
        <v>10</v>
      </c>
      <c r="AP49" s="503" t="str">
        <f>IF($L$16="", "", VLOOKUP(Z49,【参考】数式用!$A$2:$O$57,14,FALSE))</f>
        <v>加算対象</v>
      </c>
      <c r="AQ49" s="283" t="str">
        <f>VLOOKUP(Z49,【参考】数式用!$A$2:$O$57,15,FALSE)</f>
        <v>総合事業</v>
      </c>
    </row>
    <row r="50" spans="1:43" ht="49.95" customHeight="1">
      <c r="A50" s="237">
        <f t="shared" si="1"/>
        <v>11</v>
      </c>
      <c r="B50" s="648" t="s">
        <v>2508</v>
      </c>
      <c r="C50" s="649"/>
      <c r="D50" s="649"/>
      <c r="E50" s="649"/>
      <c r="F50" s="649"/>
      <c r="G50" s="649"/>
      <c r="H50" s="649"/>
      <c r="I50" s="649"/>
      <c r="J50" s="649"/>
      <c r="K50" s="649"/>
      <c r="L50" s="650" t="s">
        <v>2531</v>
      </c>
      <c r="M50" s="650"/>
      <c r="N50" s="650"/>
      <c r="O50" s="650"/>
      <c r="P50" s="650"/>
      <c r="Q50" s="703" t="s">
        <v>448</v>
      </c>
      <c r="R50" s="703"/>
      <c r="S50" s="703"/>
      <c r="T50" s="703"/>
      <c r="U50" s="703"/>
      <c r="V50" s="478" t="s">
        <v>1501</v>
      </c>
      <c r="W50" s="635" t="s">
        <v>2547</v>
      </c>
      <c r="X50" s="635"/>
      <c r="Y50" s="635"/>
      <c r="Z50" s="635" t="s">
        <v>730</v>
      </c>
      <c r="AA50" s="635"/>
      <c r="AB50" s="635"/>
      <c r="AC50" s="236" t="str">
        <f>IFERROR(VLOOKUP(Z50,【参考】数式用!$A$4:$B$57,2,FALSE),"")</f>
        <v>A7</v>
      </c>
      <c r="AD50" s="137">
        <v>1000000</v>
      </c>
      <c r="AE50" s="138">
        <v>90000</v>
      </c>
      <c r="AF50" s="238">
        <f t="shared" si="0"/>
        <v>910000</v>
      </c>
      <c r="AG50" s="66">
        <v>10</v>
      </c>
      <c r="AP50" s="503" t="str">
        <f>IF($L$16="", "", VLOOKUP(Z50,【参考】数式用!$A$2:$O$57,14,FALSE))</f>
        <v>加算対象</v>
      </c>
      <c r="AQ50" s="283" t="str">
        <f>VLOOKUP(Z50,【参考】数式用!$A$2:$O$57,15,FALSE)</f>
        <v>総合事業</v>
      </c>
    </row>
    <row r="51" spans="1:43" ht="49.95" customHeight="1">
      <c r="A51" s="237">
        <f t="shared" si="1"/>
        <v>12</v>
      </c>
      <c r="B51" s="648" t="s">
        <v>2508</v>
      </c>
      <c r="C51" s="649"/>
      <c r="D51" s="649"/>
      <c r="E51" s="649"/>
      <c r="F51" s="649"/>
      <c r="G51" s="649"/>
      <c r="H51" s="649"/>
      <c r="I51" s="649"/>
      <c r="J51" s="649"/>
      <c r="K51" s="649"/>
      <c r="L51" s="650" t="s">
        <v>2531</v>
      </c>
      <c r="M51" s="650"/>
      <c r="N51" s="650"/>
      <c r="O51" s="650"/>
      <c r="P51" s="650"/>
      <c r="Q51" s="703" t="s">
        <v>448</v>
      </c>
      <c r="R51" s="703"/>
      <c r="S51" s="703"/>
      <c r="T51" s="703"/>
      <c r="U51" s="703"/>
      <c r="V51" s="478" t="s">
        <v>1501</v>
      </c>
      <c r="W51" s="635" t="s">
        <v>2547</v>
      </c>
      <c r="X51" s="635"/>
      <c r="Y51" s="635"/>
      <c r="Z51" s="635" t="s">
        <v>735</v>
      </c>
      <c r="AA51" s="635"/>
      <c r="AB51" s="635"/>
      <c r="AC51" s="236" t="str">
        <f>IFERROR(VLOOKUP(Z51,【参考】数式用!$A$4:$B$57,2,FALSE),"")</f>
        <v>A8</v>
      </c>
      <c r="AD51" s="137">
        <v>1000000</v>
      </c>
      <c r="AE51" s="138">
        <v>90000</v>
      </c>
      <c r="AF51" s="238">
        <f t="shared" si="0"/>
        <v>910000</v>
      </c>
      <c r="AG51" s="66">
        <v>10</v>
      </c>
      <c r="AP51" s="503" t="str">
        <f>IF($L$16="", "", VLOOKUP(Z51,【参考】数式用!$A$2:$O$57,14,FALSE))</f>
        <v>加算対象</v>
      </c>
      <c r="AQ51" s="283" t="str">
        <f>VLOOKUP(Z51,【参考】数式用!$A$2:$O$57,15,FALSE)</f>
        <v>総合事業</v>
      </c>
    </row>
    <row r="52" spans="1:43" ht="49.95" customHeight="1">
      <c r="A52" s="237">
        <f t="shared" si="1"/>
        <v>13</v>
      </c>
      <c r="B52" s="648" t="s">
        <v>2509</v>
      </c>
      <c r="C52" s="649"/>
      <c r="D52" s="649"/>
      <c r="E52" s="649"/>
      <c r="F52" s="649"/>
      <c r="G52" s="649"/>
      <c r="H52" s="649"/>
      <c r="I52" s="649"/>
      <c r="J52" s="649"/>
      <c r="K52" s="649"/>
      <c r="L52" s="650" t="s">
        <v>2532</v>
      </c>
      <c r="M52" s="650"/>
      <c r="N52" s="650"/>
      <c r="O52" s="650"/>
      <c r="P52" s="650"/>
      <c r="Q52" s="703" t="s">
        <v>448</v>
      </c>
      <c r="R52" s="703"/>
      <c r="S52" s="703"/>
      <c r="T52" s="703"/>
      <c r="U52" s="703"/>
      <c r="V52" s="478" t="s">
        <v>1236</v>
      </c>
      <c r="W52" s="635" t="s">
        <v>2548</v>
      </c>
      <c r="X52" s="635"/>
      <c r="Y52" s="635"/>
      <c r="Z52" s="635" t="s">
        <v>443</v>
      </c>
      <c r="AA52" s="635"/>
      <c r="AB52" s="635"/>
      <c r="AC52" s="236" t="str">
        <f>IFERROR(VLOOKUP(Z52,【参考】数式用!$A$4:$B$57,2,FALSE),"")</f>
        <v>78</v>
      </c>
      <c r="AD52" s="137">
        <v>1000000</v>
      </c>
      <c r="AE52" s="138">
        <v>90000</v>
      </c>
      <c r="AF52" s="238">
        <f t="shared" si="0"/>
        <v>910000</v>
      </c>
      <c r="AG52" s="66">
        <f>IF(B52="","",IF(AQ52="総合事業","数式を削除して手入力",IFERROR(INDEX(【参考】数式用!$AD$3:$AF$452,MATCH(Q52&amp;V52,【参考】数式用!$AC$3:$AC$452,0),MATCH(VLOOKUP(Z52,【参考】数式用!$AG$2:$AH$56,2,FALSE),【参考】数式用!$AD$2:$AF$2,0)),10)))</f>
        <v>10.14</v>
      </c>
      <c r="AP52" s="503" t="str">
        <f>IF($L$16="", "", VLOOKUP(Z52,【参考】数式用!$A$2:$O$57,14,FALSE))</f>
        <v>加算対象</v>
      </c>
      <c r="AQ52" s="283" t="str">
        <f>VLOOKUP(Z52,【参考】数式用!$A$2:$O$57,15,FALSE)</f>
        <v>その他</v>
      </c>
    </row>
    <row r="53" spans="1:43" ht="49.95" customHeight="1">
      <c r="A53" s="237">
        <f t="shared" si="1"/>
        <v>14</v>
      </c>
      <c r="B53" s="648" t="s">
        <v>2510</v>
      </c>
      <c r="C53" s="649"/>
      <c r="D53" s="649"/>
      <c r="E53" s="649"/>
      <c r="F53" s="649"/>
      <c r="G53" s="649"/>
      <c r="H53" s="649"/>
      <c r="I53" s="649"/>
      <c r="J53" s="649"/>
      <c r="K53" s="649"/>
      <c r="L53" s="650" t="s">
        <v>2530</v>
      </c>
      <c r="M53" s="650"/>
      <c r="N53" s="650"/>
      <c r="O53" s="650"/>
      <c r="P53" s="650"/>
      <c r="Q53" s="703" t="s">
        <v>448</v>
      </c>
      <c r="R53" s="703"/>
      <c r="S53" s="703"/>
      <c r="T53" s="703"/>
      <c r="U53" s="703"/>
      <c r="V53" s="478" t="s">
        <v>843</v>
      </c>
      <c r="W53" s="635" t="s">
        <v>2549</v>
      </c>
      <c r="X53" s="635"/>
      <c r="Y53" s="635"/>
      <c r="Z53" s="635" t="s">
        <v>2572</v>
      </c>
      <c r="AA53" s="635"/>
      <c r="AB53" s="635"/>
      <c r="AC53" s="236" t="str">
        <f>IFERROR(VLOOKUP(Z53,【参考】数式用!$A$4:$B$57,2,FALSE),"")</f>
        <v>16</v>
      </c>
      <c r="AD53" s="137">
        <v>1000000</v>
      </c>
      <c r="AE53" s="138">
        <v>83000</v>
      </c>
      <c r="AF53" s="238">
        <f t="shared" si="0"/>
        <v>917000</v>
      </c>
      <c r="AG53" s="66">
        <f>IF(B53="","",IF(AQ53="総合事業","数式を削除して手入力",IFERROR(INDEX(【参考】数式用!$AD$3:$AF$452,MATCH(Q53&amp;V53,【参考】数式用!$AC$3:$AC$452,0),MATCH(VLOOKUP(Z53,【参考】数式用!$AG$2:$AH$56,2,FALSE),【参考】数式用!$AD$2:$AF$2,0)),10)))</f>
        <v>10.55</v>
      </c>
      <c r="AP53" s="503" t="str">
        <f>IF($L$16="", "", VLOOKUP(Z53,【参考】数式用!$A$2:$O$57,14,FALSE))</f>
        <v>加算対象</v>
      </c>
      <c r="AQ53" s="283" t="str">
        <f>VLOOKUP(Z53,【参考】数式用!$A$2:$O$57,15,FALSE)</f>
        <v>その他</v>
      </c>
    </row>
    <row r="54" spans="1:43" ht="49.95" customHeight="1">
      <c r="A54" s="237">
        <f t="shared" si="1"/>
        <v>15</v>
      </c>
      <c r="B54" s="648" t="s">
        <v>2510</v>
      </c>
      <c r="C54" s="649"/>
      <c r="D54" s="649"/>
      <c r="E54" s="649"/>
      <c r="F54" s="649"/>
      <c r="G54" s="649"/>
      <c r="H54" s="649"/>
      <c r="I54" s="649"/>
      <c r="J54" s="649"/>
      <c r="K54" s="649"/>
      <c r="L54" s="650" t="s">
        <v>2530</v>
      </c>
      <c r="M54" s="650"/>
      <c r="N54" s="650"/>
      <c r="O54" s="650"/>
      <c r="P54" s="650"/>
      <c r="Q54" s="703" t="s">
        <v>448</v>
      </c>
      <c r="R54" s="703"/>
      <c r="S54" s="703"/>
      <c r="T54" s="703"/>
      <c r="U54" s="703"/>
      <c r="V54" s="478" t="s">
        <v>843</v>
      </c>
      <c r="W54" s="635" t="s">
        <v>2549</v>
      </c>
      <c r="X54" s="635"/>
      <c r="Y54" s="635"/>
      <c r="Z54" s="635" t="s">
        <v>2573</v>
      </c>
      <c r="AA54" s="635"/>
      <c r="AB54" s="635"/>
      <c r="AC54" s="236" t="str">
        <f>IFERROR(VLOOKUP(Z54,【参考】数式用!$A$4:$B$57,2,FALSE),"")</f>
        <v>66</v>
      </c>
      <c r="AD54" s="137">
        <v>1000000</v>
      </c>
      <c r="AE54" s="138">
        <v>83000</v>
      </c>
      <c r="AF54" s="238">
        <f t="shared" si="0"/>
        <v>917000</v>
      </c>
      <c r="AG54" s="66">
        <f>IF(B54="","",IF(AQ54="総合事業","数式を削除して手入力",IFERROR(INDEX(【参考】数式用!$AD$3:$AF$452,MATCH(Q54&amp;V54,【参考】数式用!$AC$3:$AC$452,0),MATCH(VLOOKUP(Z54,【参考】数式用!$AG$2:$AH$56,2,FALSE),【参考】数式用!$AD$2:$AF$2,0)),10)))</f>
        <v>10.55</v>
      </c>
      <c r="AP54" s="503" t="str">
        <f>IF($L$16="", "", VLOOKUP(Z54,【参考】数式用!$A$2:$O$57,14,FALSE))</f>
        <v>加算対象</v>
      </c>
      <c r="AQ54" s="283" t="str">
        <f>VLOOKUP(Z54,【参考】数式用!$A$2:$O$57,15,FALSE)</f>
        <v>介護予防</v>
      </c>
    </row>
    <row r="55" spans="1:43" ht="49.95" customHeight="1">
      <c r="A55" s="237">
        <f t="shared" si="1"/>
        <v>16</v>
      </c>
      <c r="B55" s="648" t="s">
        <v>2511</v>
      </c>
      <c r="C55" s="649"/>
      <c r="D55" s="649"/>
      <c r="E55" s="649"/>
      <c r="F55" s="649"/>
      <c r="G55" s="649"/>
      <c r="H55" s="649"/>
      <c r="I55" s="649"/>
      <c r="J55" s="649"/>
      <c r="K55" s="649"/>
      <c r="L55" s="650" t="s">
        <v>2530</v>
      </c>
      <c r="M55" s="650"/>
      <c r="N55" s="650"/>
      <c r="O55" s="650"/>
      <c r="P55" s="650"/>
      <c r="Q55" s="703" t="s">
        <v>448</v>
      </c>
      <c r="R55" s="703"/>
      <c r="S55" s="703"/>
      <c r="T55" s="703"/>
      <c r="U55" s="703"/>
      <c r="V55" s="478" t="s">
        <v>1238</v>
      </c>
      <c r="W55" s="635" t="s">
        <v>2550</v>
      </c>
      <c r="X55" s="635"/>
      <c r="Y55" s="635"/>
      <c r="Z55" s="635" t="s">
        <v>2574</v>
      </c>
      <c r="AA55" s="635"/>
      <c r="AB55" s="635"/>
      <c r="AC55" s="236" t="str">
        <f>IFERROR(VLOOKUP(Z55,【参考】数式用!$A$4:$B$57,2,FALSE),"")</f>
        <v>33</v>
      </c>
      <c r="AD55" s="137">
        <v>1000000</v>
      </c>
      <c r="AE55" s="138">
        <v>122000</v>
      </c>
      <c r="AF55" s="238">
        <f t="shared" si="0"/>
        <v>878000</v>
      </c>
      <c r="AG55" s="66">
        <f>IF(B55="","",IF(AQ55="総合事業","数式を削除して手入力",IFERROR(INDEX(【参考】数式用!$AD$3:$AF$452,MATCH(Q55&amp;V55,【参考】数式用!$AC$3:$AC$452,0),MATCH(VLOOKUP(Z55,【参考】数式用!$AG$2:$AH$56,2,FALSE),【参考】数式用!$AD$2:$AF$2,0)),10)))</f>
        <v>10.14</v>
      </c>
      <c r="AP55" s="503" t="str">
        <f>IF($L$16="", "", VLOOKUP(Z55,【参考】数式用!$A$2:$O$57,14,FALSE))</f>
        <v>加算対象</v>
      </c>
      <c r="AQ55" s="283" t="str">
        <f>VLOOKUP(Z55,【参考】数式用!$A$2:$O$57,15,FALSE)</f>
        <v>その他</v>
      </c>
    </row>
    <row r="56" spans="1:43" ht="49.95" customHeight="1">
      <c r="A56" s="237">
        <f t="shared" si="1"/>
        <v>17</v>
      </c>
      <c r="B56" s="648" t="s">
        <v>2511</v>
      </c>
      <c r="C56" s="649"/>
      <c r="D56" s="649"/>
      <c r="E56" s="649"/>
      <c r="F56" s="649"/>
      <c r="G56" s="649"/>
      <c r="H56" s="649"/>
      <c r="I56" s="649"/>
      <c r="J56" s="649"/>
      <c r="K56" s="649"/>
      <c r="L56" s="650" t="s">
        <v>2530</v>
      </c>
      <c r="M56" s="650"/>
      <c r="N56" s="650"/>
      <c r="O56" s="650"/>
      <c r="P56" s="650"/>
      <c r="Q56" s="703" t="s">
        <v>448</v>
      </c>
      <c r="R56" s="703"/>
      <c r="S56" s="703"/>
      <c r="T56" s="703"/>
      <c r="U56" s="703"/>
      <c r="V56" s="478" t="s">
        <v>1238</v>
      </c>
      <c r="W56" s="635" t="s">
        <v>2550</v>
      </c>
      <c r="X56" s="635"/>
      <c r="Y56" s="635"/>
      <c r="Z56" s="635" t="s">
        <v>2575</v>
      </c>
      <c r="AA56" s="635"/>
      <c r="AB56" s="635"/>
      <c r="AC56" s="236" t="str">
        <f>IFERROR(VLOOKUP(Z56,【参考】数式用!$A$4:$B$57,2,FALSE),"")</f>
        <v>27</v>
      </c>
      <c r="AD56" s="137">
        <v>1000000</v>
      </c>
      <c r="AE56" s="138">
        <v>122000</v>
      </c>
      <c r="AF56" s="238">
        <f t="shared" si="0"/>
        <v>878000</v>
      </c>
      <c r="AG56" s="66">
        <f>IF(B56="","",IF(AQ56="総合事業","数式を削除して手入力",IFERROR(INDEX(【参考】数式用!$AD$3:$AF$452,MATCH(Q56&amp;V56,【参考】数式用!$AC$3:$AC$452,0),MATCH(VLOOKUP(Z56,【参考】数式用!$AG$2:$AH$56,2,FALSE),【参考】数式用!$AD$2:$AF$2,0)),10)))</f>
        <v>10.14</v>
      </c>
      <c r="AP56" s="503" t="str">
        <f>IF($L$16="", "", VLOOKUP(Z56,【参考】数式用!$A$2:$O$57,14,FALSE))</f>
        <v>加算対象</v>
      </c>
      <c r="AQ56" s="283" t="str">
        <f>VLOOKUP(Z56,【参考】数式用!$A$2:$O$57,15,FALSE)</f>
        <v>短期利用型</v>
      </c>
    </row>
    <row r="57" spans="1:43" ht="49.95" customHeight="1">
      <c r="A57" s="237">
        <f t="shared" si="1"/>
        <v>18</v>
      </c>
      <c r="B57" s="648" t="s">
        <v>2511</v>
      </c>
      <c r="C57" s="649"/>
      <c r="D57" s="649"/>
      <c r="E57" s="649"/>
      <c r="F57" s="649"/>
      <c r="G57" s="649"/>
      <c r="H57" s="649"/>
      <c r="I57" s="649"/>
      <c r="J57" s="649"/>
      <c r="K57" s="649"/>
      <c r="L57" s="650" t="s">
        <v>2530</v>
      </c>
      <c r="M57" s="650"/>
      <c r="N57" s="650"/>
      <c r="O57" s="650"/>
      <c r="P57" s="650"/>
      <c r="Q57" s="703" t="s">
        <v>448</v>
      </c>
      <c r="R57" s="703"/>
      <c r="S57" s="703"/>
      <c r="T57" s="703"/>
      <c r="U57" s="703"/>
      <c r="V57" s="478" t="s">
        <v>1238</v>
      </c>
      <c r="W57" s="635" t="s">
        <v>2550</v>
      </c>
      <c r="X57" s="635"/>
      <c r="Y57" s="635"/>
      <c r="Z57" s="635" t="s">
        <v>2576</v>
      </c>
      <c r="AA57" s="635"/>
      <c r="AB57" s="635"/>
      <c r="AC57" s="236" t="str">
        <f>IFERROR(VLOOKUP(Z57,【参考】数式用!$A$4:$B$57,2,FALSE),"")</f>
        <v>35</v>
      </c>
      <c r="AD57" s="137">
        <v>1000000</v>
      </c>
      <c r="AE57" s="138">
        <v>122000</v>
      </c>
      <c r="AF57" s="238">
        <f t="shared" si="0"/>
        <v>878000</v>
      </c>
      <c r="AG57" s="66">
        <f>IF(B57="","",IF(AQ57="総合事業","数式を削除して手入力",IFERROR(INDEX(【参考】数式用!$AD$3:$AF$452,MATCH(Q57&amp;V57,【参考】数式用!$AC$3:$AC$452,0),MATCH(VLOOKUP(Z57,【参考】数式用!$AG$2:$AH$56,2,FALSE),【参考】数式用!$AD$2:$AF$2,0)),10)))</f>
        <v>10.14</v>
      </c>
      <c r="AP57" s="503" t="str">
        <f>IF($L$16="", "", VLOOKUP(Z57,【参考】数式用!$A$2:$O$57,14,FALSE))</f>
        <v>加算対象</v>
      </c>
      <c r="AQ57" s="283" t="str">
        <f>VLOOKUP(Z57,【参考】数式用!$A$2:$O$57,15,FALSE)</f>
        <v>介護予防</v>
      </c>
    </row>
    <row r="58" spans="1:43" ht="49.95" customHeight="1">
      <c r="A58" s="237">
        <f t="shared" si="1"/>
        <v>19</v>
      </c>
      <c r="B58" s="648" t="s">
        <v>2512</v>
      </c>
      <c r="C58" s="649"/>
      <c r="D58" s="649"/>
      <c r="E58" s="649"/>
      <c r="F58" s="649"/>
      <c r="G58" s="649"/>
      <c r="H58" s="649"/>
      <c r="I58" s="649"/>
      <c r="J58" s="649"/>
      <c r="K58" s="649"/>
      <c r="L58" s="650" t="s">
        <v>2533</v>
      </c>
      <c r="M58" s="650"/>
      <c r="N58" s="650"/>
      <c r="O58" s="650"/>
      <c r="P58" s="650"/>
      <c r="Q58" s="703" t="s">
        <v>448</v>
      </c>
      <c r="R58" s="703"/>
      <c r="S58" s="703"/>
      <c r="T58" s="703"/>
      <c r="U58" s="703"/>
      <c r="V58" s="478" t="s">
        <v>1240</v>
      </c>
      <c r="W58" s="635" t="s">
        <v>2551</v>
      </c>
      <c r="X58" s="635"/>
      <c r="Y58" s="635"/>
      <c r="Z58" s="635" t="s">
        <v>494</v>
      </c>
      <c r="AA58" s="635"/>
      <c r="AB58" s="635"/>
      <c r="AC58" s="236" t="str">
        <f>IFERROR(VLOOKUP(Z58,【参考】数式用!$A$4:$B$57,2,FALSE),"")</f>
        <v>36</v>
      </c>
      <c r="AD58" s="137">
        <v>1000000</v>
      </c>
      <c r="AE58" s="138">
        <v>122000</v>
      </c>
      <c r="AF58" s="238">
        <f t="shared" si="0"/>
        <v>878000</v>
      </c>
      <c r="AG58" s="66">
        <f>IF(B58="","",IF(AQ58="総合事業","数式を削除して手入力",IFERROR(INDEX(【参考】数式用!$AD$3:$AF$452,MATCH(Q58&amp;V58,【参考】数式用!$AC$3:$AC$452,0),MATCH(VLOOKUP(Z58,【参考】数式用!$AG$2:$AH$56,2,FALSE),【参考】数式用!$AD$2:$AF$2,0)),10)))</f>
        <v>10.14</v>
      </c>
      <c r="AP58" s="503" t="str">
        <f>IF($L$16="", "", VLOOKUP(Z58,【参考】数式用!$A$2:$O$57,14,FALSE))</f>
        <v>加算対象</v>
      </c>
      <c r="AQ58" s="283" t="str">
        <f>VLOOKUP(Z58,【参考】数式用!$A$2:$O$57,15,FALSE)</f>
        <v>その他</v>
      </c>
    </row>
    <row r="59" spans="1:43" ht="49.95" customHeight="1">
      <c r="A59" s="237">
        <f t="shared" si="1"/>
        <v>20</v>
      </c>
      <c r="B59" s="648" t="s">
        <v>2512</v>
      </c>
      <c r="C59" s="649"/>
      <c r="D59" s="649"/>
      <c r="E59" s="649"/>
      <c r="F59" s="649"/>
      <c r="G59" s="649"/>
      <c r="H59" s="649"/>
      <c r="I59" s="649"/>
      <c r="J59" s="649"/>
      <c r="K59" s="649"/>
      <c r="L59" s="650" t="s">
        <v>2533</v>
      </c>
      <c r="M59" s="650"/>
      <c r="N59" s="650"/>
      <c r="O59" s="650"/>
      <c r="P59" s="650"/>
      <c r="Q59" s="703" t="s">
        <v>448</v>
      </c>
      <c r="R59" s="703"/>
      <c r="S59" s="703"/>
      <c r="T59" s="703"/>
      <c r="U59" s="703"/>
      <c r="V59" s="478" t="s">
        <v>1240</v>
      </c>
      <c r="W59" s="635" t="s">
        <v>2551</v>
      </c>
      <c r="X59" s="635"/>
      <c r="Y59" s="635"/>
      <c r="Z59" s="635" t="s">
        <v>2577</v>
      </c>
      <c r="AA59" s="635"/>
      <c r="AB59" s="635"/>
      <c r="AC59" s="236" t="str">
        <f>IFERROR(VLOOKUP(Z59,【参考】数式用!$A$4:$B$57,2,FALSE),"")</f>
        <v>28</v>
      </c>
      <c r="AD59" s="137">
        <v>1000000</v>
      </c>
      <c r="AE59" s="138">
        <v>122000</v>
      </c>
      <c r="AF59" s="238">
        <f t="shared" si="0"/>
        <v>878000</v>
      </c>
      <c r="AG59" s="66">
        <f>IF(B59="","",IF(AQ59="総合事業","数式を削除して手入力",IFERROR(INDEX(【参考】数式用!$AD$3:$AF$452,MATCH(Q59&amp;V59,【参考】数式用!$AC$3:$AC$452,0),MATCH(VLOOKUP(Z59,【参考】数式用!$AG$2:$AH$56,2,FALSE),【参考】数式用!$AD$2:$AF$2,0)),10)))</f>
        <v>10.14</v>
      </c>
      <c r="AP59" s="503" t="str">
        <f>IF($L$16="", "", VLOOKUP(Z59,【参考】数式用!$A$2:$O$57,14,FALSE))</f>
        <v>加算対象</v>
      </c>
      <c r="AQ59" s="283" t="str">
        <f>VLOOKUP(Z59,【参考】数式用!$A$2:$O$57,15,FALSE)</f>
        <v>短期利用型</v>
      </c>
    </row>
    <row r="60" spans="1:43" ht="49.95" customHeight="1">
      <c r="A60" s="237">
        <f t="shared" si="1"/>
        <v>21</v>
      </c>
      <c r="B60" s="648" t="s">
        <v>2513</v>
      </c>
      <c r="C60" s="649"/>
      <c r="D60" s="649"/>
      <c r="E60" s="649"/>
      <c r="F60" s="649"/>
      <c r="G60" s="649"/>
      <c r="H60" s="649"/>
      <c r="I60" s="649"/>
      <c r="J60" s="649"/>
      <c r="K60" s="649"/>
      <c r="L60" s="650" t="s">
        <v>2534</v>
      </c>
      <c r="M60" s="650"/>
      <c r="N60" s="650"/>
      <c r="O60" s="650"/>
      <c r="P60" s="650"/>
      <c r="Q60" s="703" t="s">
        <v>448</v>
      </c>
      <c r="R60" s="703"/>
      <c r="S60" s="703"/>
      <c r="T60" s="703"/>
      <c r="U60" s="703"/>
      <c r="V60" s="478" t="s">
        <v>1507</v>
      </c>
      <c r="W60" s="635" t="s">
        <v>2552</v>
      </c>
      <c r="X60" s="635"/>
      <c r="Y60" s="635"/>
      <c r="Z60" s="635" t="s">
        <v>2578</v>
      </c>
      <c r="AA60" s="635"/>
      <c r="AB60" s="635"/>
      <c r="AC60" s="236" t="str">
        <f>IFERROR(VLOOKUP(Z60,【参考】数式用!$A$4:$B$57,2,FALSE),"")</f>
        <v>72</v>
      </c>
      <c r="AD60" s="137">
        <v>1000000</v>
      </c>
      <c r="AE60" s="138">
        <v>174000</v>
      </c>
      <c r="AF60" s="238">
        <f t="shared" si="0"/>
        <v>826000</v>
      </c>
      <c r="AG60" s="66">
        <f>IF(B60="","",IF(AQ60="総合事業","数式を削除して手入力",IFERROR(INDEX(【参考】数式用!$AD$3:$AF$452,MATCH(Q60&amp;V60,【参考】数式用!$AC$3:$AC$452,0),MATCH(VLOOKUP(Z60,【参考】数式用!$AG$2:$AH$56,2,FALSE),【参考】数式用!$AD$2:$AF$2,0)),10)))</f>
        <v>10</v>
      </c>
      <c r="AP60" s="503" t="str">
        <f>IF($L$16="", "", VLOOKUP(Z60,【参考】数式用!$A$2:$O$57,14,FALSE))</f>
        <v>加算対象</v>
      </c>
      <c r="AQ60" s="283" t="str">
        <f>VLOOKUP(Z60,【参考】数式用!$A$2:$O$57,15,FALSE)</f>
        <v>その他</v>
      </c>
    </row>
    <row r="61" spans="1:43" ht="49.95" customHeight="1">
      <c r="A61" s="237">
        <f t="shared" si="1"/>
        <v>22</v>
      </c>
      <c r="B61" s="648" t="s">
        <v>2513</v>
      </c>
      <c r="C61" s="649"/>
      <c r="D61" s="649"/>
      <c r="E61" s="649"/>
      <c r="F61" s="649"/>
      <c r="G61" s="649"/>
      <c r="H61" s="649"/>
      <c r="I61" s="649"/>
      <c r="J61" s="649"/>
      <c r="K61" s="649"/>
      <c r="L61" s="650" t="s">
        <v>2534</v>
      </c>
      <c r="M61" s="650"/>
      <c r="N61" s="650"/>
      <c r="O61" s="650"/>
      <c r="P61" s="650"/>
      <c r="Q61" s="703" t="s">
        <v>448</v>
      </c>
      <c r="R61" s="703"/>
      <c r="S61" s="703"/>
      <c r="T61" s="703"/>
      <c r="U61" s="703"/>
      <c r="V61" s="478" t="s">
        <v>1507</v>
      </c>
      <c r="W61" s="635" t="s">
        <v>2552</v>
      </c>
      <c r="X61" s="635"/>
      <c r="Y61" s="635"/>
      <c r="Z61" s="635" t="s">
        <v>2579</v>
      </c>
      <c r="AA61" s="635"/>
      <c r="AB61" s="635"/>
      <c r="AC61" s="236" t="str">
        <f>IFERROR(VLOOKUP(Z61,【参考】数式用!$A$4:$B$57,2,FALSE),"")</f>
        <v>74</v>
      </c>
      <c r="AD61" s="137">
        <v>1000000</v>
      </c>
      <c r="AE61" s="138">
        <v>174000</v>
      </c>
      <c r="AF61" s="238">
        <f t="shared" si="0"/>
        <v>826000</v>
      </c>
      <c r="AG61" s="66">
        <f>IF(B61="","",IF(AQ61="総合事業","数式を削除して手入力",IFERROR(INDEX(【参考】数式用!$AD$3:$AF$452,MATCH(Q61&amp;V61,【参考】数式用!$AC$3:$AC$452,0),MATCH(VLOOKUP(Z61,【参考】数式用!$AG$2:$AH$56,2,FALSE),【参考】数式用!$AD$2:$AF$2,0)),10)))</f>
        <v>10</v>
      </c>
      <c r="AP61" s="503" t="str">
        <f>IF($L$16="", "", VLOOKUP(Z61,【参考】数式用!$A$2:$O$57,14,FALSE))</f>
        <v>加算対象</v>
      </c>
      <c r="AQ61" s="283" t="str">
        <f>VLOOKUP(Z61,【参考】数式用!$A$2:$O$57,15,FALSE)</f>
        <v>介護予防</v>
      </c>
    </row>
    <row r="62" spans="1:43" ht="49.95" customHeight="1">
      <c r="A62" s="237">
        <f t="shared" si="1"/>
        <v>23</v>
      </c>
      <c r="B62" s="648" t="s">
        <v>2514</v>
      </c>
      <c r="C62" s="649"/>
      <c r="D62" s="649"/>
      <c r="E62" s="649"/>
      <c r="F62" s="649"/>
      <c r="G62" s="649"/>
      <c r="H62" s="649"/>
      <c r="I62" s="649"/>
      <c r="J62" s="649"/>
      <c r="K62" s="649"/>
      <c r="L62" s="650" t="s">
        <v>2535</v>
      </c>
      <c r="M62" s="650"/>
      <c r="N62" s="650"/>
      <c r="O62" s="650"/>
      <c r="P62" s="650"/>
      <c r="Q62" s="703" t="s">
        <v>448</v>
      </c>
      <c r="R62" s="703"/>
      <c r="S62" s="703"/>
      <c r="T62" s="703"/>
      <c r="U62" s="703"/>
      <c r="V62" s="478" t="s">
        <v>1509</v>
      </c>
      <c r="W62" s="635" t="s">
        <v>2553</v>
      </c>
      <c r="X62" s="635"/>
      <c r="Y62" s="635"/>
      <c r="Z62" s="635" t="s">
        <v>526</v>
      </c>
      <c r="AA62" s="635"/>
      <c r="AB62" s="635"/>
      <c r="AC62" s="236" t="str">
        <f>IFERROR(VLOOKUP(Z62,【参考】数式用!$A$4:$B$57,2,FALSE),"")</f>
        <v>73</v>
      </c>
      <c r="AD62" s="137">
        <v>1000000</v>
      </c>
      <c r="AE62" s="138">
        <v>146000</v>
      </c>
      <c r="AF62" s="238">
        <f t="shared" si="0"/>
        <v>854000</v>
      </c>
      <c r="AG62" s="66">
        <f>IF(B62="","",IF(AQ62="総合事業","数式を削除して手入力",IFERROR(INDEX(【参考】数式用!$AD$3:$AF$452,MATCH(Q62&amp;V62,【参考】数式用!$AC$3:$AC$452,0),MATCH(VLOOKUP(Z62,【参考】数式用!$AG$2:$AH$56,2,FALSE),【参考】数式用!$AD$2:$AF$2,0)),10)))</f>
        <v>10</v>
      </c>
      <c r="AP62" s="503" t="str">
        <f>IF($L$16="", "", VLOOKUP(Z62,【参考】数式用!$A$2:$O$57,14,FALSE))</f>
        <v>加算対象</v>
      </c>
      <c r="AQ62" s="283" t="str">
        <f>VLOOKUP(Z62,【参考】数式用!$A$2:$O$57,15,FALSE)</f>
        <v>その他</v>
      </c>
    </row>
    <row r="63" spans="1:43" ht="49.95" customHeight="1">
      <c r="A63" s="237">
        <f t="shared" si="1"/>
        <v>24</v>
      </c>
      <c r="B63" s="648" t="s">
        <v>2514</v>
      </c>
      <c r="C63" s="649"/>
      <c r="D63" s="649"/>
      <c r="E63" s="649"/>
      <c r="F63" s="649"/>
      <c r="G63" s="649"/>
      <c r="H63" s="649"/>
      <c r="I63" s="649"/>
      <c r="J63" s="649"/>
      <c r="K63" s="649"/>
      <c r="L63" s="650" t="s">
        <v>2535</v>
      </c>
      <c r="M63" s="650"/>
      <c r="N63" s="650"/>
      <c r="O63" s="650"/>
      <c r="P63" s="650"/>
      <c r="Q63" s="703" t="s">
        <v>448</v>
      </c>
      <c r="R63" s="703"/>
      <c r="S63" s="703"/>
      <c r="T63" s="703"/>
      <c r="U63" s="703"/>
      <c r="V63" s="478" t="s">
        <v>1509</v>
      </c>
      <c r="W63" s="635" t="s">
        <v>2553</v>
      </c>
      <c r="X63" s="635"/>
      <c r="Y63" s="635"/>
      <c r="Z63" s="635" t="s">
        <v>2580</v>
      </c>
      <c r="AA63" s="635"/>
      <c r="AB63" s="635"/>
      <c r="AC63" s="236" t="str">
        <f>IFERROR(VLOOKUP(Z63,【参考】数式用!$A$4:$B$57,2,FALSE),"")</f>
        <v>68</v>
      </c>
      <c r="AD63" s="137">
        <v>1000000</v>
      </c>
      <c r="AE63" s="138">
        <v>146000</v>
      </c>
      <c r="AF63" s="238">
        <f t="shared" si="0"/>
        <v>854000</v>
      </c>
      <c r="AG63" s="66">
        <f>IF(B63="","",IF(AQ63="総合事業","数式を削除して手入力",IFERROR(INDEX(【参考】数式用!$AD$3:$AF$452,MATCH(Q63&amp;V63,【参考】数式用!$AC$3:$AC$452,0),MATCH(VLOOKUP(Z63,【参考】数式用!$AG$2:$AH$56,2,FALSE),【参考】数式用!$AD$2:$AF$2,0)),10)))</f>
        <v>10</v>
      </c>
      <c r="AP63" s="503" t="str">
        <f>IF($L$16="", "", VLOOKUP(Z63,【参考】数式用!$A$2:$O$57,14,FALSE))</f>
        <v>加算対象</v>
      </c>
      <c r="AQ63" s="283" t="str">
        <f>VLOOKUP(Z63,【参考】数式用!$A$2:$O$57,15,FALSE)</f>
        <v>短期利用型</v>
      </c>
    </row>
    <row r="64" spans="1:43" ht="49.95" customHeight="1">
      <c r="A64" s="237">
        <f t="shared" si="1"/>
        <v>25</v>
      </c>
      <c r="B64" s="648" t="s">
        <v>2514</v>
      </c>
      <c r="C64" s="649"/>
      <c r="D64" s="649"/>
      <c r="E64" s="649"/>
      <c r="F64" s="649"/>
      <c r="G64" s="649"/>
      <c r="H64" s="649"/>
      <c r="I64" s="649"/>
      <c r="J64" s="649"/>
      <c r="K64" s="649"/>
      <c r="L64" s="650" t="s">
        <v>2535</v>
      </c>
      <c r="M64" s="650"/>
      <c r="N64" s="650"/>
      <c r="O64" s="650"/>
      <c r="P64" s="650"/>
      <c r="Q64" s="703" t="s">
        <v>448</v>
      </c>
      <c r="R64" s="703"/>
      <c r="S64" s="703"/>
      <c r="T64" s="703"/>
      <c r="U64" s="703"/>
      <c r="V64" s="478" t="s">
        <v>1509</v>
      </c>
      <c r="W64" s="635" t="s">
        <v>2553</v>
      </c>
      <c r="X64" s="635"/>
      <c r="Y64" s="635"/>
      <c r="Z64" s="635" t="s">
        <v>2581</v>
      </c>
      <c r="AA64" s="635"/>
      <c r="AB64" s="635"/>
      <c r="AC64" s="236" t="str">
        <f>IFERROR(VLOOKUP(Z64,【参考】数式用!$A$4:$B$57,2,FALSE),"")</f>
        <v>75</v>
      </c>
      <c r="AD64" s="137">
        <v>1000000</v>
      </c>
      <c r="AE64" s="138">
        <v>146000</v>
      </c>
      <c r="AF64" s="238">
        <f t="shared" si="0"/>
        <v>854000</v>
      </c>
      <c r="AG64" s="66">
        <f>IF(B64="","",IF(AQ64="総合事業","数式を削除して手入力",IFERROR(INDEX(【参考】数式用!$AD$3:$AF$452,MATCH(Q64&amp;V64,【参考】数式用!$AC$3:$AC$452,0),MATCH(VLOOKUP(Z64,【参考】数式用!$AG$2:$AH$56,2,FALSE),【参考】数式用!$AD$2:$AF$2,0)),10)))</f>
        <v>10</v>
      </c>
      <c r="AP64" s="503" t="str">
        <f>IF($L$16="", "", VLOOKUP(Z64,【参考】数式用!$A$2:$O$57,14,FALSE))</f>
        <v>加算対象</v>
      </c>
      <c r="AQ64" s="283" t="str">
        <f>VLOOKUP(Z64,【参考】数式用!$A$2:$O$57,15,FALSE)</f>
        <v>介護予防</v>
      </c>
    </row>
    <row r="65" spans="1:43" ht="49.95" customHeight="1">
      <c r="A65" s="237">
        <f t="shared" si="1"/>
        <v>26</v>
      </c>
      <c r="B65" s="648" t="s">
        <v>2514</v>
      </c>
      <c r="C65" s="649"/>
      <c r="D65" s="649"/>
      <c r="E65" s="649"/>
      <c r="F65" s="649"/>
      <c r="G65" s="649"/>
      <c r="H65" s="649"/>
      <c r="I65" s="649"/>
      <c r="J65" s="649"/>
      <c r="K65" s="649"/>
      <c r="L65" s="650" t="s">
        <v>2535</v>
      </c>
      <c r="M65" s="650"/>
      <c r="N65" s="650"/>
      <c r="O65" s="650"/>
      <c r="P65" s="650"/>
      <c r="Q65" s="703" t="s">
        <v>448</v>
      </c>
      <c r="R65" s="703"/>
      <c r="S65" s="703"/>
      <c r="T65" s="703"/>
      <c r="U65" s="703"/>
      <c r="V65" s="478" t="s">
        <v>1509</v>
      </c>
      <c r="W65" s="635" t="s">
        <v>2553</v>
      </c>
      <c r="X65" s="635"/>
      <c r="Y65" s="635"/>
      <c r="Z65" s="635" t="s">
        <v>2582</v>
      </c>
      <c r="AA65" s="635"/>
      <c r="AB65" s="635"/>
      <c r="AC65" s="236" t="str">
        <f>IFERROR(VLOOKUP(Z65,【参考】数式用!$A$4:$B$57,2,FALSE),"")</f>
        <v>69</v>
      </c>
      <c r="AD65" s="137">
        <v>1000000</v>
      </c>
      <c r="AE65" s="138">
        <v>146000</v>
      </c>
      <c r="AF65" s="238">
        <f t="shared" si="0"/>
        <v>854000</v>
      </c>
      <c r="AG65" s="66">
        <f>IF(B65="","",IF(AQ65="総合事業","数式を削除して手入力",IFERROR(INDEX(【参考】数式用!$AD$3:$AF$452,MATCH(Q65&amp;V65,【参考】数式用!$AC$3:$AC$452,0),MATCH(VLOOKUP(Z65,【参考】数式用!$AG$2:$AH$56,2,FALSE),【参考】数式用!$AD$2:$AF$2,0)),10)))</f>
        <v>10</v>
      </c>
      <c r="AP65" s="503" t="str">
        <f>IF($L$16="", "", VLOOKUP(Z65,【参考】数式用!$A$2:$O$57,14,FALSE))</f>
        <v>加算対象</v>
      </c>
      <c r="AQ65" s="283" t="str">
        <f>VLOOKUP(Z65,【参考】数式用!$A$2:$O$57,15,FALSE)</f>
        <v>介護予防・短期利用型</v>
      </c>
    </row>
    <row r="66" spans="1:43" ht="49.95" customHeight="1">
      <c r="A66" s="237">
        <f t="shared" si="1"/>
        <v>27</v>
      </c>
      <c r="B66" s="648" t="s">
        <v>2515</v>
      </c>
      <c r="C66" s="649"/>
      <c r="D66" s="649"/>
      <c r="E66" s="649"/>
      <c r="F66" s="649"/>
      <c r="G66" s="649"/>
      <c r="H66" s="649"/>
      <c r="I66" s="649"/>
      <c r="J66" s="649"/>
      <c r="K66" s="649"/>
      <c r="L66" s="650" t="s">
        <v>2536</v>
      </c>
      <c r="M66" s="650"/>
      <c r="N66" s="650"/>
      <c r="O66" s="650"/>
      <c r="P66" s="650"/>
      <c r="Q66" s="703" t="s">
        <v>448</v>
      </c>
      <c r="R66" s="703"/>
      <c r="S66" s="703"/>
      <c r="T66" s="703"/>
      <c r="U66" s="703"/>
      <c r="V66" s="478" t="s">
        <v>1511</v>
      </c>
      <c r="W66" s="635" t="s">
        <v>2554</v>
      </c>
      <c r="X66" s="635"/>
      <c r="Y66" s="635"/>
      <c r="Z66" s="635" t="s">
        <v>559</v>
      </c>
      <c r="AA66" s="635"/>
      <c r="AB66" s="635"/>
      <c r="AC66" s="236" t="str">
        <f>IFERROR(VLOOKUP(Z66,【参考】数式用!$A$4:$B$57,2,FALSE),"")</f>
        <v>77</v>
      </c>
      <c r="AD66" s="137">
        <v>1000000</v>
      </c>
      <c r="AE66" s="138">
        <v>146000</v>
      </c>
      <c r="AF66" s="238">
        <f t="shared" si="0"/>
        <v>854000</v>
      </c>
      <c r="AG66" s="66">
        <f>IF(B66="","",IF(AQ66="総合事業","数式を削除して手入力",IFERROR(INDEX(【参考】数式用!$AD$3:$AF$452,MATCH(Q66&amp;V66,【参考】数式用!$AC$3:$AC$452,0),MATCH(VLOOKUP(Z66,【参考】数式用!$AG$2:$AH$56,2,FALSE),【参考】数式用!$AD$2:$AF$2,0)),10)))</f>
        <v>10</v>
      </c>
      <c r="AP66" s="503" t="str">
        <f>IF($L$16="", "", VLOOKUP(Z66,【参考】数式用!$A$2:$O$57,14,FALSE))</f>
        <v>加算対象</v>
      </c>
      <c r="AQ66" s="283" t="str">
        <f>VLOOKUP(Z66,【参考】数式用!$A$2:$O$57,15,FALSE)</f>
        <v>その他</v>
      </c>
    </row>
    <row r="67" spans="1:43" ht="49.95" customHeight="1">
      <c r="A67" s="237">
        <f t="shared" si="1"/>
        <v>28</v>
      </c>
      <c r="B67" s="648" t="s">
        <v>2515</v>
      </c>
      <c r="C67" s="649"/>
      <c r="D67" s="649"/>
      <c r="E67" s="649"/>
      <c r="F67" s="649"/>
      <c r="G67" s="649"/>
      <c r="H67" s="649"/>
      <c r="I67" s="649"/>
      <c r="J67" s="649"/>
      <c r="K67" s="649"/>
      <c r="L67" s="650" t="s">
        <v>2536</v>
      </c>
      <c r="M67" s="650"/>
      <c r="N67" s="650"/>
      <c r="O67" s="650"/>
      <c r="P67" s="650"/>
      <c r="Q67" s="703" t="s">
        <v>448</v>
      </c>
      <c r="R67" s="703"/>
      <c r="S67" s="703"/>
      <c r="T67" s="703"/>
      <c r="U67" s="703"/>
      <c r="V67" s="478" t="s">
        <v>1511</v>
      </c>
      <c r="W67" s="635" t="s">
        <v>2554</v>
      </c>
      <c r="X67" s="635"/>
      <c r="Y67" s="635"/>
      <c r="Z67" s="635" t="s">
        <v>2583</v>
      </c>
      <c r="AA67" s="635"/>
      <c r="AB67" s="635"/>
      <c r="AC67" s="236" t="str">
        <f>IFERROR(VLOOKUP(Z67,【参考】数式用!$A$4:$B$57,2,FALSE),"")</f>
        <v>79</v>
      </c>
      <c r="AD67" s="137">
        <v>1000000</v>
      </c>
      <c r="AE67" s="138">
        <v>146000</v>
      </c>
      <c r="AF67" s="238">
        <f t="shared" si="0"/>
        <v>854000</v>
      </c>
      <c r="AG67" s="66">
        <f>IF(B67="","",IF(AQ67="総合事業","数式を削除して手入力",IFERROR(INDEX(【参考】数式用!$AD$3:$AF$452,MATCH(Q67&amp;V67,【参考】数式用!$AC$3:$AC$452,0),MATCH(VLOOKUP(Z67,【参考】数式用!$AG$2:$AH$56,2,FALSE),【参考】数式用!$AD$2:$AF$2,0)),10)))</f>
        <v>10</v>
      </c>
      <c r="AP67" s="503" t="str">
        <f>IF($L$16="", "", VLOOKUP(Z67,【参考】数式用!$A$2:$O$57,14,FALSE))</f>
        <v>加算対象</v>
      </c>
      <c r="AQ67" s="283" t="str">
        <f>VLOOKUP(Z67,【参考】数式用!$A$2:$O$57,15,FALSE)</f>
        <v>短期利用型</v>
      </c>
    </row>
    <row r="68" spans="1:43" ht="49.95" customHeight="1">
      <c r="A68" s="237">
        <f t="shared" si="1"/>
        <v>29</v>
      </c>
      <c r="B68" s="648" t="s">
        <v>2516</v>
      </c>
      <c r="C68" s="649"/>
      <c r="D68" s="649"/>
      <c r="E68" s="649"/>
      <c r="F68" s="649"/>
      <c r="G68" s="649"/>
      <c r="H68" s="649"/>
      <c r="I68" s="649"/>
      <c r="J68" s="649"/>
      <c r="K68" s="649"/>
      <c r="L68" s="650" t="s">
        <v>2537</v>
      </c>
      <c r="M68" s="650"/>
      <c r="N68" s="650"/>
      <c r="O68" s="650"/>
      <c r="P68" s="650"/>
      <c r="Q68" s="703" t="s">
        <v>448</v>
      </c>
      <c r="R68" s="703"/>
      <c r="S68" s="703"/>
      <c r="T68" s="703"/>
      <c r="U68" s="703"/>
      <c r="V68" s="478" t="s">
        <v>1242</v>
      </c>
      <c r="W68" s="635" t="s">
        <v>2555</v>
      </c>
      <c r="X68" s="635"/>
      <c r="Y68" s="635"/>
      <c r="Z68" s="635" t="s">
        <v>576</v>
      </c>
      <c r="AA68" s="635"/>
      <c r="AB68" s="635"/>
      <c r="AC68" s="236" t="str">
        <f>IFERROR(VLOOKUP(Z68,【参考】数式用!$A$4:$B$57,2,FALSE),"")</f>
        <v>32</v>
      </c>
      <c r="AD68" s="137">
        <v>1000000</v>
      </c>
      <c r="AE68" s="138">
        <v>178000</v>
      </c>
      <c r="AF68" s="238">
        <f t="shared" si="0"/>
        <v>822000</v>
      </c>
      <c r="AG68" s="66">
        <f>IF(B68="","",IF(AQ68="総合事業","数式を削除して手入力",IFERROR(INDEX(【参考】数式用!$AD$3:$AF$452,MATCH(Q68&amp;V68,【参考】数式用!$AC$3:$AC$452,0),MATCH(VLOOKUP(Z68,【参考】数式用!$AG$2:$AH$56,2,FALSE),【参考】数式用!$AD$2:$AF$2,0)),10)))</f>
        <v>10.14</v>
      </c>
      <c r="AP68" s="503" t="str">
        <f>IF($L$16="", "", VLOOKUP(Z68,【参考】数式用!$A$2:$O$57,14,FALSE))</f>
        <v>加算対象</v>
      </c>
      <c r="AQ68" s="283" t="str">
        <f>VLOOKUP(Z68,【参考】数式用!$A$2:$O$57,15,FALSE)</f>
        <v>その他</v>
      </c>
    </row>
    <row r="69" spans="1:43" ht="49.95" customHeight="1">
      <c r="A69" s="237">
        <f t="shared" si="1"/>
        <v>30</v>
      </c>
      <c r="B69" s="648" t="s">
        <v>2516</v>
      </c>
      <c r="C69" s="649"/>
      <c r="D69" s="649"/>
      <c r="E69" s="649"/>
      <c r="F69" s="649"/>
      <c r="G69" s="649"/>
      <c r="H69" s="649"/>
      <c r="I69" s="649"/>
      <c r="J69" s="649"/>
      <c r="K69" s="649"/>
      <c r="L69" s="650" t="s">
        <v>2537</v>
      </c>
      <c r="M69" s="650"/>
      <c r="N69" s="650"/>
      <c r="O69" s="650"/>
      <c r="P69" s="650"/>
      <c r="Q69" s="703" t="s">
        <v>448</v>
      </c>
      <c r="R69" s="703"/>
      <c r="S69" s="703"/>
      <c r="T69" s="703"/>
      <c r="U69" s="703"/>
      <c r="V69" s="478" t="s">
        <v>1242</v>
      </c>
      <c r="W69" s="635" t="s">
        <v>2555</v>
      </c>
      <c r="X69" s="635"/>
      <c r="Y69" s="635"/>
      <c r="Z69" s="635" t="s">
        <v>2584</v>
      </c>
      <c r="AA69" s="635"/>
      <c r="AB69" s="635"/>
      <c r="AC69" s="236" t="str">
        <f>IFERROR(VLOOKUP(Z69,【参考】数式用!$A$4:$B$57,2,FALSE),"")</f>
        <v>38</v>
      </c>
      <c r="AD69" s="137">
        <v>1000000</v>
      </c>
      <c r="AE69" s="138">
        <v>178000</v>
      </c>
      <c r="AF69" s="238">
        <f t="shared" si="0"/>
        <v>822000</v>
      </c>
      <c r="AG69" s="66">
        <f>IF(B69="","",IF(AQ69="総合事業","数式を削除して手入力",IFERROR(INDEX(【参考】数式用!$AD$3:$AF$452,MATCH(Q69&amp;V69,【参考】数式用!$AC$3:$AC$452,0),MATCH(VLOOKUP(Z69,【参考】数式用!$AG$2:$AH$56,2,FALSE),【参考】数式用!$AD$2:$AF$2,0)),10)))</f>
        <v>10.14</v>
      </c>
      <c r="AP69" s="503" t="str">
        <f>IF($L$16="", "", VLOOKUP(Z69,【参考】数式用!$A$2:$O$57,14,FALSE))</f>
        <v>加算対象</v>
      </c>
      <c r="AQ69" s="283" t="str">
        <f>VLOOKUP(Z69,【参考】数式用!$A$2:$O$57,15,FALSE)</f>
        <v>短期利用型</v>
      </c>
    </row>
    <row r="70" spans="1:43" ht="49.95" customHeight="1">
      <c r="A70" s="237">
        <f t="shared" si="1"/>
        <v>31</v>
      </c>
      <c r="B70" s="648" t="s">
        <v>2516</v>
      </c>
      <c r="C70" s="649"/>
      <c r="D70" s="649"/>
      <c r="E70" s="649"/>
      <c r="F70" s="649"/>
      <c r="G70" s="649"/>
      <c r="H70" s="649"/>
      <c r="I70" s="649"/>
      <c r="J70" s="649"/>
      <c r="K70" s="649"/>
      <c r="L70" s="650" t="s">
        <v>2537</v>
      </c>
      <c r="M70" s="650"/>
      <c r="N70" s="650"/>
      <c r="O70" s="650"/>
      <c r="P70" s="650"/>
      <c r="Q70" s="703" t="s">
        <v>448</v>
      </c>
      <c r="R70" s="703"/>
      <c r="S70" s="703"/>
      <c r="T70" s="703"/>
      <c r="U70" s="703"/>
      <c r="V70" s="478" t="s">
        <v>1242</v>
      </c>
      <c r="W70" s="635" t="s">
        <v>2555</v>
      </c>
      <c r="X70" s="635"/>
      <c r="Y70" s="635"/>
      <c r="Z70" s="635" t="s">
        <v>593</v>
      </c>
      <c r="AA70" s="635"/>
      <c r="AB70" s="635"/>
      <c r="AC70" s="236" t="str">
        <f>IFERROR(VLOOKUP(Z70,【参考】数式用!$A$4:$B$57,2,FALSE),"")</f>
        <v>37</v>
      </c>
      <c r="AD70" s="137">
        <v>1000000</v>
      </c>
      <c r="AE70" s="138">
        <v>178000</v>
      </c>
      <c r="AF70" s="238">
        <f t="shared" si="0"/>
        <v>822000</v>
      </c>
      <c r="AG70" s="66">
        <f>IF(B70="","",IF(AQ70="総合事業","数式を削除して手入力",IFERROR(INDEX(【参考】数式用!$AD$3:$AF$452,MATCH(Q70&amp;V70,【参考】数式用!$AC$3:$AC$452,0),MATCH(VLOOKUP(Z70,【参考】数式用!$AG$2:$AH$56,2,FALSE),【参考】数式用!$AD$2:$AF$2,0)),10)))</f>
        <v>10.14</v>
      </c>
      <c r="AP70" s="503" t="str">
        <f>IF($L$16="", "", VLOOKUP(Z70,【参考】数式用!$A$2:$O$57,14,FALSE))</f>
        <v>加算対象</v>
      </c>
      <c r="AQ70" s="283" t="str">
        <f>VLOOKUP(Z70,【参考】数式用!$A$2:$O$57,15,FALSE)</f>
        <v>介護予防</v>
      </c>
    </row>
    <row r="71" spans="1:43" ht="49.95" customHeight="1">
      <c r="A71" s="237">
        <f t="shared" si="1"/>
        <v>32</v>
      </c>
      <c r="B71" s="648" t="s">
        <v>2516</v>
      </c>
      <c r="C71" s="649"/>
      <c r="D71" s="649"/>
      <c r="E71" s="649"/>
      <c r="F71" s="649"/>
      <c r="G71" s="649"/>
      <c r="H71" s="649"/>
      <c r="I71" s="649"/>
      <c r="J71" s="649"/>
      <c r="K71" s="649"/>
      <c r="L71" s="650" t="s">
        <v>2537</v>
      </c>
      <c r="M71" s="650"/>
      <c r="N71" s="650"/>
      <c r="O71" s="650"/>
      <c r="P71" s="650"/>
      <c r="Q71" s="703" t="s">
        <v>448</v>
      </c>
      <c r="R71" s="703"/>
      <c r="S71" s="703"/>
      <c r="T71" s="703"/>
      <c r="U71" s="703"/>
      <c r="V71" s="478" t="s">
        <v>1242</v>
      </c>
      <c r="W71" s="635" t="s">
        <v>2555</v>
      </c>
      <c r="X71" s="635"/>
      <c r="Y71" s="635"/>
      <c r="Z71" s="635" t="s">
        <v>2585</v>
      </c>
      <c r="AA71" s="635"/>
      <c r="AB71" s="635"/>
      <c r="AC71" s="236" t="str">
        <f>IFERROR(VLOOKUP(Z71,【参考】数式用!$A$4:$B$57,2,FALSE),"")</f>
        <v>39</v>
      </c>
      <c r="AD71" s="137">
        <v>1000000</v>
      </c>
      <c r="AE71" s="138">
        <v>178000</v>
      </c>
      <c r="AF71" s="238">
        <f t="shared" si="0"/>
        <v>822000</v>
      </c>
      <c r="AG71" s="66">
        <f>IF(B71="","",IF(AQ71="総合事業","数式を削除して手入力",IFERROR(INDEX(【参考】数式用!$AD$3:$AF$452,MATCH(Q71&amp;V71,【参考】数式用!$AC$3:$AC$452,0),MATCH(VLOOKUP(Z71,【参考】数式用!$AG$2:$AH$56,2,FALSE),【参考】数式用!$AD$2:$AF$2,0)),10)))</f>
        <v>10.14</v>
      </c>
      <c r="AP71" s="503" t="str">
        <f>IF($L$16="", "", VLOOKUP(Z71,【参考】数式用!$A$2:$O$57,14,FALSE))</f>
        <v>加算対象</v>
      </c>
      <c r="AQ71" s="283" t="str">
        <f>VLOOKUP(Z71,【参考】数式用!$A$2:$O$57,15,FALSE)</f>
        <v>介護予防・短期利用型</v>
      </c>
    </row>
    <row r="72" spans="1:43" ht="49.95" customHeight="1">
      <c r="A72" s="237">
        <f t="shared" si="1"/>
        <v>33</v>
      </c>
      <c r="B72" s="648" t="s">
        <v>2517</v>
      </c>
      <c r="C72" s="649"/>
      <c r="D72" s="649"/>
      <c r="E72" s="649"/>
      <c r="F72" s="649"/>
      <c r="G72" s="649"/>
      <c r="H72" s="649"/>
      <c r="I72" s="649"/>
      <c r="J72" s="649"/>
      <c r="K72" s="649"/>
      <c r="L72" s="650" t="s">
        <v>2530</v>
      </c>
      <c r="M72" s="650"/>
      <c r="N72" s="650"/>
      <c r="O72" s="650"/>
      <c r="P72" s="650"/>
      <c r="Q72" s="703" t="s">
        <v>448</v>
      </c>
      <c r="R72" s="703"/>
      <c r="S72" s="703"/>
      <c r="T72" s="703"/>
      <c r="U72" s="703"/>
      <c r="V72" s="478" t="s">
        <v>845</v>
      </c>
      <c r="W72" s="635" t="s">
        <v>2556</v>
      </c>
      <c r="X72" s="635"/>
      <c r="Y72" s="635"/>
      <c r="Z72" s="635" t="s">
        <v>612</v>
      </c>
      <c r="AA72" s="635"/>
      <c r="AB72" s="635"/>
      <c r="AC72" s="236" t="str">
        <f>IFERROR(VLOOKUP(Z72,【参考】数式用!$A$4:$B$57,2,FALSE),"")</f>
        <v>51</v>
      </c>
      <c r="AD72" s="137">
        <v>1000000</v>
      </c>
      <c r="AE72" s="138">
        <v>136000</v>
      </c>
      <c r="AF72" s="238">
        <f t="shared" si="0"/>
        <v>864000</v>
      </c>
      <c r="AG72" s="66">
        <f>IF(B72="","",IF(AQ72="総合事業","数式を削除して手入力",IFERROR(INDEX(【参考】数式用!$AD$3:$AF$452,MATCH(Q72&amp;V72,【参考】数式用!$AC$3:$AC$452,0),MATCH(VLOOKUP(Z72,【参考】数式用!$AG$2:$AH$56,2,FALSE),【参考】数式用!$AD$2:$AF$2,0)),10)))</f>
        <v>10.45</v>
      </c>
      <c r="AP72" s="503" t="str">
        <f>IF($L$16="", "", VLOOKUP(Z72,【参考】数式用!$A$2:$O$57,14,FALSE))</f>
        <v>加算対象</v>
      </c>
      <c r="AQ72" s="283" t="str">
        <f>VLOOKUP(Z72,【参考】数式用!$A$2:$O$57,15,FALSE)</f>
        <v>その他</v>
      </c>
    </row>
    <row r="73" spans="1:43" ht="49.95" customHeight="1">
      <c r="A73" s="237">
        <f t="shared" si="1"/>
        <v>34</v>
      </c>
      <c r="B73" s="648" t="s">
        <v>2518</v>
      </c>
      <c r="C73" s="649"/>
      <c r="D73" s="649"/>
      <c r="E73" s="649"/>
      <c r="F73" s="649"/>
      <c r="G73" s="649"/>
      <c r="H73" s="649"/>
      <c r="I73" s="649"/>
      <c r="J73" s="649"/>
      <c r="K73" s="649"/>
      <c r="L73" s="650" t="s">
        <v>2538</v>
      </c>
      <c r="M73" s="650"/>
      <c r="N73" s="650"/>
      <c r="O73" s="650"/>
      <c r="P73" s="650"/>
      <c r="Q73" s="703" t="s">
        <v>448</v>
      </c>
      <c r="R73" s="703"/>
      <c r="S73" s="703"/>
      <c r="T73" s="703"/>
      <c r="U73" s="703"/>
      <c r="V73" s="478" t="s">
        <v>790</v>
      </c>
      <c r="W73" s="635" t="s">
        <v>2557</v>
      </c>
      <c r="X73" s="635"/>
      <c r="Y73" s="635"/>
      <c r="Z73" s="635" t="s">
        <v>619</v>
      </c>
      <c r="AA73" s="635"/>
      <c r="AB73" s="635"/>
      <c r="AC73" s="236" t="str">
        <f>IFERROR(VLOOKUP(Z73,【参考】数式用!$A$4:$B$57,2,FALSE),"")</f>
        <v>54</v>
      </c>
      <c r="AD73" s="137">
        <v>1000000</v>
      </c>
      <c r="AE73" s="138">
        <v>136000</v>
      </c>
      <c r="AF73" s="238">
        <f t="shared" si="0"/>
        <v>864000</v>
      </c>
      <c r="AG73" s="66">
        <f>IF(B73="","",IF(AQ73="総合事業","数式を削除して手入力",IFERROR(INDEX(【参考】数式用!$AD$3:$AF$452,MATCH(Q73&amp;V73,【参考】数式用!$AC$3:$AC$452,0),MATCH(VLOOKUP(Z73,【参考】数式用!$AG$2:$AH$56,2,FALSE),【参考】数式用!$AD$2:$AF$2,0)),10)))</f>
        <v>10.54</v>
      </c>
      <c r="AP73" s="503" t="str">
        <f>IF($L$16="", "", VLOOKUP(Z73,【参考】数式用!$A$2:$O$57,14,FALSE))</f>
        <v>加算対象</v>
      </c>
      <c r="AQ73" s="283" t="str">
        <f>VLOOKUP(Z73,【参考】数式用!$A$2:$O$57,15,FALSE)</f>
        <v>その他</v>
      </c>
    </row>
    <row r="74" spans="1:43" ht="49.95" customHeight="1">
      <c r="A74" s="237">
        <f t="shared" si="1"/>
        <v>35</v>
      </c>
      <c r="B74" s="648" t="s">
        <v>2519</v>
      </c>
      <c r="C74" s="649"/>
      <c r="D74" s="649"/>
      <c r="E74" s="649"/>
      <c r="F74" s="649"/>
      <c r="G74" s="649"/>
      <c r="H74" s="649"/>
      <c r="I74" s="649"/>
      <c r="J74" s="649"/>
      <c r="K74" s="649"/>
      <c r="L74" s="650" t="s">
        <v>2539</v>
      </c>
      <c r="M74" s="650"/>
      <c r="N74" s="650"/>
      <c r="O74" s="650"/>
      <c r="P74" s="650"/>
      <c r="Q74" s="703" t="s">
        <v>448</v>
      </c>
      <c r="R74" s="703"/>
      <c r="S74" s="703"/>
      <c r="T74" s="703"/>
      <c r="U74" s="703"/>
      <c r="V74" s="478" t="s">
        <v>847</v>
      </c>
      <c r="W74" s="635" t="s">
        <v>2558</v>
      </c>
      <c r="X74" s="635"/>
      <c r="Y74" s="635"/>
      <c r="Z74" s="635" t="s">
        <v>629</v>
      </c>
      <c r="AA74" s="635"/>
      <c r="AB74" s="635"/>
      <c r="AC74" s="236" t="str">
        <f>IFERROR(VLOOKUP(Z74,【参考】数式用!$A$4:$B$57,2,FALSE),"")</f>
        <v>21</v>
      </c>
      <c r="AD74" s="137">
        <v>1000000</v>
      </c>
      <c r="AE74" s="138">
        <v>136000</v>
      </c>
      <c r="AF74" s="238">
        <f t="shared" si="0"/>
        <v>864000</v>
      </c>
      <c r="AG74" s="66">
        <f>IF(B74="","",IF(AQ74="総合事業","数式を削除して手入力",IFERROR(INDEX(【参考】数式用!$AD$3:$AF$452,MATCH(Q74&amp;V74,【参考】数式用!$AC$3:$AC$452,0),MATCH(VLOOKUP(Z74,【参考】数式用!$AG$2:$AH$56,2,FALSE),【参考】数式用!$AD$2:$AF$2,0)),10)))</f>
        <v>10.55</v>
      </c>
      <c r="AP74" s="503" t="str">
        <f>IF($L$16="", "", VLOOKUP(Z74,【参考】数式用!$A$2:$O$57,14,FALSE))</f>
        <v>加算対象</v>
      </c>
      <c r="AQ74" s="283" t="str">
        <f>VLOOKUP(Z74,【参考】数式用!$A$2:$O$57,15,FALSE)</f>
        <v>その他</v>
      </c>
    </row>
    <row r="75" spans="1:43" ht="49.95" customHeight="1">
      <c r="A75" s="237">
        <f t="shared" si="1"/>
        <v>36</v>
      </c>
      <c r="B75" s="648" t="s">
        <v>2519</v>
      </c>
      <c r="C75" s="649"/>
      <c r="D75" s="649"/>
      <c r="E75" s="649"/>
      <c r="F75" s="649"/>
      <c r="G75" s="649"/>
      <c r="H75" s="649"/>
      <c r="I75" s="649"/>
      <c r="J75" s="649"/>
      <c r="K75" s="649"/>
      <c r="L75" s="650" t="s">
        <v>2539</v>
      </c>
      <c r="M75" s="650"/>
      <c r="N75" s="650"/>
      <c r="O75" s="650"/>
      <c r="P75" s="650"/>
      <c r="Q75" s="703" t="s">
        <v>448</v>
      </c>
      <c r="R75" s="703"/>
      <c r="S75" s="703"/>
      <c r="T75" s="703"/>
      <c r="U75" s="703"/>
      <c r="V75" s="478" t="s">
        <v>847</v>
      </c>
      <c r="W75" s="635" t="s">
        <v>2558</v>
      </c>
      <c r="X75" s="635"/>
      <c r="Y75" s="635"/>
      <c r="Z75" s="635" t="s">
        <v>638</v>
      </c>
      <c r="AA75" s="635"/>
      <c r="AB75" s="635"/>
      <c r="AC75" s="236" t="str">
        <f>IFERROR(VLOOKUP(Z75,【参考】数式用!$A$4:$B$57,2,FALSE),"")</f>
        <v>24</v>
      </c>
      <c r="AD75" s="137">
        <v>1000000</v>
      </c>
      <c r="AE75" s="138">
        <v>136000</v>
      </c>
      <c r="AF75" s="238">
        <f t="shared" si="0"/>
        <v>864000</v>
      </c>
      <c r="AG75" s="66">
        <f>IF(B75="","",IF(AQ75="総合事業","数式を削除して手入力",IFERROR(INDEX(【参考】数式用!$AD$3:$AF$452,MATCH(Q75&amp;V75,【参考】数式用!$AC$3:$AC$452,0),MATCH(VLOOKUP(Z75,【参考】数式用!$AG$2:$AH$56,2,FALSE),【参考】数式用!$AD$2:$AF$2,0)),10)))</f>
        <v>10.55</v>
      </c>
      <c r="AP75" s="503" t="str">
        <f>IF($L$16="", "", VLOOKUP(Z75,【参考】数式用!$A$2:$O$57,14,FALSE))</f>
        <v>加算対象</v>
      </c>
      <c r="AQ75" s="283" t="str">
        <f>VLOOKUP(Z75,【参考】数式用!$A$2:$O$57,15,FALSE)</f>
        <v>介護予防</v>
      </c>
    </row>
    <row r="76" spans="1:43" ht="49.95" customHeight="1">
      <c r="A76" s="237">
        <f t="shared" si="1"/>
        <v>37</v>
      </c>
      <c r="B76" s="648" t="s">
        <v>2520</v>
      </c>
      <c r="C76" s="649"/>
      <c r="D76" s="649"/>
      <c r="E76" s="649"/>
      <c r="F76" s="649"/>
      <c r="G76" s="649"/>
      <c r="H76" s="649"/>
      <c r="I76" s="649"/>
      <c r="J76" s="649"/>
      <c r="K76" s="649"/>
      <c r="L76" s="650" t="s">
        <v>2530</v>
      </c>
      <c r="M76" s="650"/>
      <c r="N76" s="650"/>
      <c r="O76" s="650"/>
      <c r="P76" s="650"/>
      <c r="Q76" s="703" t="s">
        <v>448</v>
      </c>
      <c r="R76" s="703"/>
      <c r="S76" s="703"/>
      <c r="T76" s="703"/>
      <c r="U76" s="703"/>
      <c r="V76" s="478" t="s">
        <v>1244</v>
      </c>
      <c r="W76" s="635" t="s">
        <v>2559</v>
      </c>
      <c r="X76" s="635"/>
      <c r="Y76" s="635"/>
      <c r="Z76" s="635" t="s">
        <v>648</v>
      </c>
      <c r="AA76" s="635"/>
      <c r="AB76" s="635"/>
      <c r="AC76" s="236" t="str">
        <f>IFERROR(VLOOKUP(Z76,【参考】数式用!$A$4:$B$57,2,FALSE),"")</f>
        <v>52</v>
      </c>
      <c r="AD76" s="137">
        <v>1000000</v>
      </c>
      <c r="AE76" s="138">
        <v>71000</v>
      </c>
      <c r="AF76" s="238">
        <f t="shared" si="0"/>
        <v>929000</v>
      </c>
      <c r="AG76" s="66">
        <f>IF(B76="","",IF(AQ76="総合事業","数式を削除して手入力",IFERROR(INDEX(【参考】数式用!$AD$3:$AF$452,MATCH(Q76&amp;V76,【参考】数式用!$AC$3:$AC$452,0),MATCH(VLOOKUP(Z76,【参考】数式用!$AG$2:$AH$56,2,FALSE),【参考】数式用!$AD$2:$AF$2,0)),10)))</f>
        <v>10.14</v>
      </c>
      <c r="AP76" s="503" t="str">
        <f>IF($L$16="", "", VLOOKUP(Z76,【参考】数式用!$A$2:$O$57,14,FALSE))</f>
        <v>加算対象</v>
      </c>
      <c r="AQ76" s="283" t="str">
        <f>VLOOKUP(Z76,【参考】数式用!$A$2:$O$57,15,FALSE)</f>
        <v>その他</v>
      </c>
    </row>
    <row r="77" spans="1:43" ht="49.95" customHeight="1">
      <c r="A77" s="237">
        <f t="shared" si="1"/>
        <v>38</v>
      </c>
      <c r="B77" s="648" t="s">
        <v>2520</v>
      </c>
      <c r="C77" s="649"/>
      <c r="D77" s="649"/>
      <c r="E77" s="649"/>
      <c r="F77" s="649"/>
      <c r="G77" s="649"/>
      <c r="H77" s="649"/>
      <c r="I77" s="649"/>
      <c r="J77" s="649"/>
      <c r="K77" s="649"/>
      <c r="L77" s="650" t="s">
        <v>2530</v>
      </c>
      <c r="M77" s="650"/>
      <c r="N77" s="650"/>
      <c r="O77" s="650"/>
      <c r="P77" s="650"/>
      <c r="Q77" s="703" t="s">
        <v>448</v>
      </c>
      <c r="R77" s="703"/>
      <c r="S77" s="703"/>
      <c r="T77" s="703"/>
      <c r="U77" s="703"/>
      <c r="V77" s="478" t="s">
        <v>1244</v>
      </c>
      <c r="W77" s="635" t="s">
        <v>2559</v>
      </c>
      <c r="X77" s="635"/>
      <c r="Y77" s="635"/>
      <c r="Z77" s="635" t="s">
        <v>658</v>
      </c>
      <c r="AA77" s="635"/>
      <c r="AB77" s="635"/>
      <c r="AC77" s="236" t="str">
        <f>IFERROR(VLOOKUP(Z77,【参考】数式用!$A$4:$B$57,2,FALSE),"")</f>
        <v>22</v>
      </c>
      <c r="AD77" s="137">
        <v>1000000</v>
      </c>
      <c r="AE77" s="138">
        <v>71000</v>
      </c>
      <c r="AF77" s="238">
        <f t="shared" si="0"/>
        <v>929000</v>
      </c>
      <c r="AG77" s="66">
        <f>IF(B77="","",IF(AQ77="総合事業","数式を削除して手入力",IFERROR(INDEX(【参考】数式用!$AD$3:$AF$452,MATCH(Q77&amp;V77,【参考】数式用!$AC$3:$AC$452,0),MATCH(VLOOKUP(Z77,【参考】数式用!$AG$2:$AH$56,2,FALSE),【参考】数式用!$AD$2:$AF$2,0)),10)))</f>
        <v>10.14</v>
      </c>
      <c r="AP77" s="503" t="str">
        <f>IF($L$16="", "", VLOOKUP(Z77,【参考】数式用!$A$2:$O$57,14,FALSE))</f>
        <v>加算対象</v>
      </c>
      <c r="AQ77" s="283" t="str">
        <f>VLOOKUP(Z77,【参考】数式用!$A$2:$O$57,15,FALSE)</f>
        <v>その他</v>
      </c>
    </row>
    <row r="78" spans="1:43" ht="49.95" customHeight="1">
      <c r="A78" s="237">
        <f t="shared" si="1"/>
        <v>39</v>
      </c>
      <c r="B78" s="648" t="s">
        <v>2520</v>
      </c>
      <c r="C78" s="649"/>
      <c r="D78" s="649"/>
      <c r="E78" s="649"/>
      <c r="F78" s="649"/>
      <c r="G78" s="649"/>
      <c r="H78" s="649"/>
      <c r="I78" s="649"/>
      <c r="J78" s="649"/>
      <c r="K78" s="649"/>
      <c r="L78" s="650" t="s">
        <v>2530</v>
      </c>
      <c r="M78" s="650"/>
      <c r="N78" s="650"/>
      <c r="O78" s="650"/>
      <c r="P78" s="650"/>
      <c r="Q78" s="703" t="s">
        <v>448</v>
      </c>
      <c r="R78" s="703"/>
      <c r="S78" s="703"/>
      <c r="T78" s="703"/>
      <c r="U78" s="703"/>
      <c r="V78" s="478" t="s">
        <v>1244</v>
      </c>
      <c r="W78" s="635" t="s">
        <v>2559</v>
      </c>
      <c r="X78" s="635"/>
      <c r="Y78" s="635"/>
      <c r="Z78" s="635" t="s">
        <v>665</v>
      </c>
      <c r="AA78" s="635"/>
      <c r="AB78" s="635"/>
      <c r="AC78" s="236" t="str">
        <f>IFERROR(VLOOKUP(Z78,【参考】数式用!$A$4:$B$57,2,FALSE),"")</f>
        <v>25</v>
      </c>
      <c r="AD78" s="137">
        <v>1000000</v>
      </c>
      <c r="AE78" s="138">
        <v>71000</v>
      </c>
      <c r="AF78" s="238">
        <f t="shared" si="0"/>
        <v>929000</v>
      </c>
      <c r="AG78" s="66">
        <f>IF(B78="","",IF(AQ78="総合事業","数式を削除して手入力",IFERROR(INDEX(【参考】数式用!$AD$3:$AF$452,MATCH(Q78&amp;V78,【参考】数式用!$AC$3:$AC$452,0),MATCH(VLOOKUP(Z78,【参考】数式用!$AG$2:$AH$56,2,FALSE),【参考】数式用!$AD$2:$AF$2,0)),10)))</f>
        <v>10.14</v>
      </c>
      <c r="AP78" s="503" t="str">
        <f>IF($L$16="", "", VLOOKUP(Z78,【参考】数式用!$A$2:$O$57,14,FALSE))</f>
        <v>加算対象</v>
      </c>
      <c r="AQ78" s="283" t="str">
        <f>VLOOKUP(Z78,【参考】数式用!$A$2:$O$57,15,FALSE)</f>
        <v>介護予防</v>
      </c>
    </row>
    <row r="79" spans="1:43" ht="49.95" customHeight="1">
      <c r="A79" s="237">
        <f t="shared" si="1"/>
        <v>40</v>
      </c>
      <c r="B79" s="648" t="s">
        <v>2521</v>
      </c>
      <c r="C79" s="649"/>
      <c r="D79" s="649"/>
      <c r="E79" s="649"/>
      <c r="F79" s="649"/>
      <c r="G79" s="649"/>
      <c r="H79" s="649"/>
      <c r="I79" s="649"/>
      <c r="J79" s="649"/>
      <c r="K79" s="649"/>
      <c r="L79" s="650" t="s">
        <v>2530</v>
      </c>
      <c r="M79" s="650"/>
      <c r="N79" s="650"/>
      <c r="O79" s="650"/>
      <c r="P79" s="650"/>
      <c r="Q79" s="703" t="s">
        <v>448</v>
      </c>
      <c r="R79" s="703"/>
      <c r="S79" s="703"/>
      <c r="T79" s="703"/>
      <c r="U79" s="703"/>
      <c r="V79" s="478" t="s">
        <v>1518</v>
      </c>
      <c r="W79" s="635" t="s">
        <v>2560</v>
      </c>
      <c r="X79" s="635"/>
      <c r="Y79" s="635"/>
      <c r="Z79" s="635" t="s">
        <v>2586</v>
      </c>
      <c r="AA79" s="635"/>
      <c r="AB79" s="635"/>
      <c r="AC79" s="236" t="str">
        <f>IFERROR(VLOOKUP(Z79,【参考】数式用!$A$4:$B$57,2,FALSE),"")</f>
        <v>23</v>
      </c>
      <c r="AD79" s="137">
        <v>1000000</v>
      </c>
      <c r="AE79" s="138">
        <v>47000</v>
      </c>
      <c r="AF79" s="238">
        <f t="shared" si="0"/>
        <v>953000</v>
      </c>
      <c r="AG79" s="66">
        <f>IF(B79="","",IF(AQ79="総合事業","数式を削除して手入力",IFERROR(INDEX(【参考】数式用!$AD$3:$AF$452,MATCH(Q79&amp;V79,【参考】数式用!$AC$3:$AC$452,0),MATCH(VLOOKUP(Z79,【参考】数式用!$AG$2:$AH$56,2,FALSE),【参考】数式用!$AD$2:$AF$2,0)),10)))</f>
        <v>10</v>
      </c>
      <c r="AP79" s="503" t="str">
        <f>IF($L$16="", "", VLOOKUP(Z79,【参考】数式用!$A$2:$O$57,14,FALSE))</f>
        <v>加算対象</v>
      </c>
      <c r="AQ79" s="283" t="str">
        <f>VLOOKUP(Z79,【参考】数式用!$A$2:$O$57,15,FALSE)</f>
        <v>その他</v>
      </c>
    </row>
    <row r="80" spans="1:43" ht="49.95" customHeight="1">
      <c r="A80" s="237">
        <f t="shared" si="1"/>
        <v>41</v>
      </c>
      <c r="B80" s="648" t="s">
        <v>2521</v>
      </c>
      <c r="C80" s="649"/>
      <c r="D80" s="649"/>
      <c r="E80" s="649"/>
      <c r="F80" s="649"/>
      <c r="G80" s="649"/>
      <c r="H80" s="649"/>
      <c r="I80" s="649"/>
      <c r="J80" s="649"/>
      <c r="K80" s="649"/>
      <c r="L80" s="650" t="s">
        <v>2530</v>
      </c>
      <c r="M80" s="650"/>
      <c r="N80" s="650"/>
      <c r="O80" s="650"/>
      <c r="P80" s="650"/>
      <c r="Q80" s="703" t="s">
        <v>448</v>
      </c>
      <c r="R80" s="703"/>
      <c r="S80" s="703"/>
      <c r="T80" s="703"/>
      <c r="U80" s="703"/>
      <c r="V80" s="478" t="s">
        <v>1518</v>
      </c>
      <c r="W80" s="635" t="s">
        <v>2560</v>
      </c>
      <c r="X80" s="635"/>
      <c r="Y80" s="635"/>
      <c r="Z80" s="635" t="s">
        <v>2587</v>
      </c>
      <c r="AA80" s="635"/>
      <c r="AB80" s="635"/>
      <c r="AC80" s="236" t="str">
        <f>IFERROR(VLOOKUP(Z80,【参考】数式用!$A$4:$B$57,2,FALSE),"")</f>
        <v>26</v>
      </c>
      <c r="AD80" s="137">
        <v>1000000</v>
      </c>
      <c r="AE80" s="138">
        <v>47000</v>
      </c>
      <c r="AF80" s="238">
        <f t="shared" si="0"/>
        <v>953000</v>
      </c>
      <c r="AG80" s="66">
        <f>IF(B80="","",IF(AQ80="総合事業","数式を削除して手入力",IFERROR(INDEX(【参考】数式用!$AD$3:$AF$452,MATCH(Q80&amp;V80,【参考】数式用!$AC$3:$AC$452,0),MATCH(VLOOKUP(Z80,【参考】数式用!$AG$2:$AH$56,2,FALSE),【参考】数式用!$AD$2:$AF$2,0)),10)))</f>
        <v>10</v>
      </c>
      <c r="AP80" s="503" t="str">
        <f>IF($L$16="", "", VLOOKUP(Z80,【参考】数式用!$A$2:$O$57,14,FALSE))</f>
        <v>加算対象</v>
      </c>
      <c r="AQ80" s="283" t="str">
        <f>VLOOKUP(Z80,【参考】数式用!$A$2:$O$57,15,FALSE)</f>
        <v>介護予防</v>
      </c>
    </row>
    <row r="81" spans="1:43" ht="49.95" customHeight="1">
      <c r="A81" s="237">
        <f t="shared" si="1"/>
        <v>42</v>
      </c>
      <c r="B81" s="648" t="s">
        <v>2522</v>
      </c>
      <c r="C81" s="649"/>
      <c r="D81" s="649"/>
      <c r="E81" s="649"/>
      <c r="F81" s="649"/>
      <c r="G81" s="649"/>
      <c r="H81" s="649"/>
      <c r="I81" s="649"/>
      <c r="J81" s="649"/>
      <c r="K81" s="649"/>
      <c r="L81" s="650" t="s">
        <v>2530</v>
      </c>
      <c r="M81" s="650"/>
      <c r="N81" s="650"/>
      <c r="O81" s="650"/>
      <c r="P81" s="650"/>
      <c r="Q81" s="703" t="s">
        <v>448</v>
      </c>
      <c r="R81" s="703"/>
      <c r="S81" s="703"/>
      <c r="T81" s="703"/>
      <c r="U81" s="703"/>
      <c r="V81" s="478" t="s">
        <v>1520</v>
      </c>
      <c r="W81" s="635" t="s">
        <v>2561</v>
      </c>
      <c r="X81" s="635"/>
      <c r="Y81" s="635"/>
      <c r="Z81" s="635" t="s">
        <v>683</v>
      </c>
      <c r="AA81" s="635"/>
      <c r="AB81" s="635"/>
      <c r="AC81" s="236" t="str">
        <f>IFERROR(VLOOKUP(Z81,【参考】数式用!$A$4:$B$57,2,FALSE),"")</f>
        <v>55</v>
      </c>
      <c r="AD81" s="137">
        <v>1000000</v>
      </c>
      <c r="AE81" s="138">
        <v>47000</v>
      </c>
      <c r="AF81" s="238">
        <f t="shared" si="0"/>
        <v>953000</v>
      </c>
      <c r="AG81" s="66">
        <f>IF(B81="","",IF(AQ81="総合事業","数式を削除して手入力",IFERROR(INDEX(【参考】数式用!$AD$3:$AF$452,MATCH(Q81&amp;V81,【参考】数式用!$AC$3:$AC$452,0),MATCH(VLOOKUP(Z81,【参考】数式用!$AG$2:$AH$56,2,FALSE),【参考】数式用!$AD$2:$AF$2,0)),10)))</f>
        <v>10</v>
      </c>
      <c r="AP81" s="503" t="str">
        <f>IF($L$16="", "", VLOOKUP(Z81,【参考】数式用!$A$2:$O$57,14,FALSE))</f>
        <v>加算対象</v>
      </c>
      <c r="AQ81" s="283" t="str">
        <f>VLOOKUP(Z81,【参考】数式用!$A$2:$O$57,15,FALSE)</f>
        <v>その他</v>
      </c>
    </row>
    <row r="82" spans="1:43" ht="49.95" customHeight="1">
      <c r="A82" s="237">
        <f t="shared" si="1"/>
        <v>43</v>
      </c>
      <c r="B82" s="648" t="s">
        <v>2522</v>
      </c>
      <c r="C82" s="649"/>
      <c r="D82" s="649"/>
      <c r="E82" s="649"/>
      <c r="F82" s="649"/>
      <c r="G82" s="649"/>
      <c r="H82" s="649"/>
      <c r="I82" s="649"/>
      <c r="J82" s="649"/>
      <c r="K82" s="649"/>
      <c r="L82" s="650" t="s">
        <v>2530</v>
      </c>
      <c r="M82" s="650"/>
      <c r="N82" s="650"/>
      <c r="O82" s="650"/>
      <c r="P82" s="650"/>
      <c r="Q82" s="703" t="s">
        <v>448</v>
      </c>
      <c r="R82" s="703"/>
      <c r="S82" s="703"/>
      <c r="T82" s="703"/>
      <c r="U82" s="703"/>
      <c r="V82" s="478" t="s">
        <v>1520</v>
      </c>
      <c r="W82" s="635" t="s">
        <v>2561</v>
      </c>
      <c r="X82" s="635"/>
      <c r="Y82" s="635"/>
      <c r="Z82" s="635" t="s">
        <v>2588</v>
      </c>
      <c r="AA82" s="635"/>
      <c r="AB82" s="635"/>
      <c r="AC82" s="236" t="str">
        <f>IFERROR(VLOOKUP(Z82,【参考】数式用!$A$4:$B$57,2,FALSE),"")</f>
        <v>2A</v>
      </c>
      <c r="AD82" s="137">
        <v>1000000</v>
      </c>
      <c r="AE82" s="138">
        <v>47000</v>
      </c>
      <c r="AF82" s="238">
        <f t="shared" si="0"/>
        <v>953000</v>
      </c>
      <c r="AG82" s="66">
        <f>IF(B82="","",IF(AQ82="総合事業","数式を削除して手入力",IFERROR(INDEX(【参考】数式用!$AD$3:$AF$452,MATCH(Q82&amp;V82,【参考】数式用!$AC$3:$AC$452,0),MATCH(VLOOKUP(Z82,【参考】数式用!$AG$2:$AH$56,2,FALSE),【参考】数式用!$AD$2:$AF$2,0)),10)))</f>
        <v>10</v>
      </c>
      <c r="AP82" s="503" t="str">
        <f>IF($L$16="", "", VLOOKUP(Z82,【参考】数式用!$A$2:$O$57,14,FALSE))</f>
        <v>加算対象</v>
      </c>
      <c r="AQ82" s="283" t="str">
        <f>VLOOKUP(Z82,【参考】数式用!$A$2:$O$57,15,FALSE)</f>
        <v>その他</v>
      </c>
    </row>
    <row r="83" spans="1:43" ht="49.95" customHeight="1">
      <c r="A83" s="237">
        <f t="shared" si="1"/>
        <v>44</v>
      </c>
      <c r="B83" s="648" t="s">
        <v>2522</v>
      </c>
      <c r="C83" s="649"/>
      <c r="D83" s="649"/>
      <c r="E83" s="649"/>
      <c r="F83" s="649"/>
      <c r="G83" s="649"/>
      <c r="H83" s="649"/>
      <c r="I83" s="649"/>
      <c r="J83" s="649"/>
      <c r="K83" s="649"/>
      <c r="L83" s="650" t="s">
        <v>2530</v>
      </c>
      <c r="M83" s="650"/>
      <c r="N83" s="650"/>
      <c r="O83" s="650"/>
      <c r="P83" s="650"/>
      <c r="Q83" s="703" t="s">
        <v>448</v>
      </c>
      <c r="R83" s="703"/>
      <c r="S83" s="703"/>
      <c r="T83" s="703"/>
      <c r="U83" s="703"/>
      <c r="V83" s="478" t="s">
        <v>1520</v>
      </c>
      <c r="W83" s="635" t="s">
        <v>2561</v>
      </c>
      <c r="X83" s="635"/>
      <c r="Y83" s="635"/>
      <c r="Z83" s="635" t="s">
        <v>2589</v>
      </c>
      <c r="AA83" s="635"/>
      <c r="AB83" s="635"/>
      <c r="AC83" s="236" t="str">
        <f>IFERROR(VLOOKUP(Z83,【参考】数式用!$A$4:$B$57,2,FALSE),"")</f>
        <v>2B</v>
      </c>
      <c r="AD83" s="137">
        <v>1000000</v>
      </c>
      <c r="AE83" s="138">
        <v>47000</v>
      </c>
      <c r="AF83" s="238">
        <f t="shared" si="0"/>
        <v>953000</v>
      </c>
      <c r="AG83" s="66">
        <f>IF(B83="","",IF(AQ83="総合事業","数式を削除して手入力",IFERROR(INDEX(【参考】数式用!$AD$3:$AF$452,MATCH(Q83&amp;V83,【参考】数式用!$AC$3:$AC$452,0),MATCH(VLOOKUP(Z83,【参考】数式用!$AG$2:$AH$56,2,FALSE),【参考】数式用!$AD$2:$AF$2,0)),10)))</f>
        <v>10</v>
      </c>
      <c r="AP83" s="503" t="str">
        <f>IF($L$16="", "", VLOOKUP(Z83,【参考】数式用!$A$2:$O$57,14,FALSE))</f>
        <v>加算対象</v>
      </c>
      <c r="AQ83" s="283" t="str">
        <f>VLOOKUP(Z83,【参考】数式用!$A$2:$O$57,15,FALSE)</f>
        <v>介護予防</v>
      </c>
    </row>
    <row r="84" spans="1:43" ht="49.95" customHeight="1">
      <c r="A84" s="237">
        <f t="shared" si="1"/>
        <v>45</v>
      </c>
      <c r="B84" s="648" t="s">
        <v>2523</v>
      </c>
      <c r="C84" s="649"/>
      <c r="D84" s="649"/>
      <c r="E84" s="649"/>
      <c r="F84" s="649"/>
      <c r="G84" s="649"/>
      <c r="H84" s="649"/>
      <c r="I84" s="649"/>
      <c r="J84" s="649"/>
      <c r="K84" s="649"/>
      <c r="L84" s="650" t="s">
        <v>2530</v>
      </c>
      <c r="M84" s="650"/>
      <c r="N84" s="650"/>
      <c r="O84" s="650"/>
      <c r="P84" s="650"/>
      <c r="Q84" s="703" t="s">
        <v>448</v>
      </c>
      <c r="R84" s="703"/>
      <c r="S84" s="703"/>
      <c r="T84" s="703"/>
      <c r="U84" s="703"/>
      <c r="V84" s="478" t="s">
        <v>849</v>
      </c>
      <c r="W84" s="635" t="s">
        <v>2562</v>
      </c>
      <c r="X84" s="635"/>
      <c r="Y84" s="635"/>
      <c r="Z84" s="635" t="s">
        <v>746</v>
      </c>
      <c r="AA84" s="635"/>
      <c r="AB84" s="635"/>
      <c r="AC84" s="236">
        <f>IFERROR(VLOOKUP(Z84,【参考】数式用!$A$4:$B$57,2,FALSE),"")</f>
        <v>13</v>
      </c>
      <c r="AD84" s="137">
        <v>1000000</v>
      </c>
      <c r="AE84" s="138">
        <v>0</v>
      </c>
      <c r="AF84" s="238">
        <f t="shared" si="0"/>
        <v>1000000</v>
      </c>
      <c r="AG84" s="66">
        <f>IF(B84="","",IF(AQ84="総合事業","数式を削除して手入力",IFERROR(INDEX(【参考】数式用!$AD$3:$AF$452,MATCH(Q84&amp;V84,【参考】数式用!$AC$3:$AC$452,0),MATCH(VLOOKUP(Z84,【参考】数式用!$AG$2:$AH$56,2,FALSE),【参考】数式用!$AD$2:$AF$2,0)),10)))</f>
        <v>10.7</v>
      </c>
      <c r="AP84" s="503" t="str">
        <f>IF($L$16="", "", VLOOKUP(Z84,【参考】数式用!$A$2:$O$57,14,FALSE))</f>
        <v>加算対象外</v>
      </c>
      <c r="AQ84" s="283" t="str">
        <f>VLOOKUP(Z84,【参考】数式用!$A$2:$O$57,15,FALSE)</f>
        <v>その他</v>
      </c>
    </row>
    <row r="85" spans="1:43" ht="49.95" customHeight="1">
      <c r="A85" s="237">
        <f t="shared" si="1"/>
        <v>46</v>
      </c>
      <c r="B85" s="648" t="s">
        <v>2523</v>
      </c>
      <c r="C85" s="649"/>
      <c r="D85" s="649"/>
      <c r="E85" s="649"/>
      <c r="F85" s="649"/>
      <c r="G85" s="649"/>
      <c r="H85" s="649"/>
      <c r="I85" s="649"/>
      <c r="J85" s="649"/>
      <c r="K85" s="649"/>
      <c r="L85" s="650" t="s">
        <v>2530</v>
      </c>
      <c r="M85" s="650"/>
      <c r="N85" s="650"/>
      <c r="O85" s="650"/>
      <c r="P85" s="650"/>
      <c r="Q85" s="703" t="s">
        <v>448</v>
      </c>
      <c r="R85" s="703"/>
      <c r="S85" s="703"/>
      <c r="T85" s="703"/>
      <c r="U85" s="703"/>
      <c r="V85" s="478" t="s">
        <v>849</v>
      </c>
      <c r="W85" s="635" t="s">
        <v>2562</v>
      </c>
      <c r="X85" s="635"/>
      <c r="Y85" s="635"/>
      <c r="Z85" s="635" t="s">
        <v>751</v>
      </c>
      <c r="AA85" s="635"/>
      <c r="AB85" s="635"/>
      <c r="AC85" s="236">
        <f>IFERROR(VLOOKUP(Z85,【参考】数式用!$A$4:$B$57,2,FALSE),"")</f>
        <v>63</v>
      </c>
      <c r="AD85" s="137">
        <v>1000000</v>
      </c>
      <c r="AE85" s="138">
        <v>0</v>
      </c>
      <c r="AF85" s="238">
        <f t="shared" si="0"/>
        <v>1000000</v>
      </c>
      <c r="AG85" s="66">
        <f>IF(B85="","",IF(AQ85="総合事業","数式を削除して手入力",IFERROR(INDEX(【参考】数式用!$AD$3:$AF$452,MATCH(Q85&amp;V85,【参考】数式用!$AC$3:$AC$452,0),MATCH(VLOOKUP(Z85,【参考】数式用!$AG$2:$AH$56,2,FALSE),【参考】数式用!$AD$2:$AF$2,0)),10)))</f>
        <v>10.7</v>
      </c>
      <c r="AP85" s="503" t="str">
        <f>IF($L$16="", "", VLOOKUP(Z85,【参考】数式用!$A$2:$O$57,14,FALSE))</f>
        <v>加算対象外</v>
      </c>
      <c r="AQ85" s="283" t="str">
        <f>VLOOKUP(Z85,【参考】数式用!$A$2:$O$57,15,FALSE)</f>
        <v>介護予防</v>
      </c>
    </row>
    <row r="86" spans="1:43" ht="49.95" customHeight="1">
      <c r="A86" s="237">
        <f t="shared" si="1"/>
        <v>47</v>
      </c>
      <c r="B86" s="648" t="s">
        <v>2524</v>
      </c>
      <c r="C86" s="649"/>
      <c r="D86" s="649"/>
      <c r="E86" s="649"/>
      <c r="F86" s="649"/>
      <c r="G86" s="649"/>
      <c r="H86" s="649"/>
      <c r="I86" s="649"/>
      <c r="J86" s="649"/>
      <c r="K86" s="649"/>
      <c r="L86" s="650" t="s">
        <v>2530</v>
      </c>
      <c r="M86" s="650"/>
      <c r="N86" s="650"/>
      <c r="O86" s="650"/>
      <c r="P86" s="650"/>
      <c r="Q86" s="703" t="s">
        <v>448</v>
      </c>
      <c r="R86" s="703"/>
      <c r="S86" s="703"/>
      <c r="T86" s="703"/>
      <c r="U86" s="703"/>
      <c r="V86" s="478" t="s">
        <v>1523</v>
      </c>
      <c r="W86" s="635" t="s">
        <v>2563</v>
      </c>
      <c r="X86" s="635"/>
      <c r="Y86" s="635"/>
      <c r="Z86" s="635" t="s">
        <v>755</v>
      </c>
      <c r="AA86" s="635"/>
      <c r="AB86" s="635"/>
      <c r="AC86" s="236">
        <f>IFERROR(VLOOKUP(Z86,【参考】数式用!$A$4:$B$57,2,FALSE),"")</f>
        <v>14</v>
      </c>
      <c r="AD86" s="137">
        <v>1000000</v>
      </c>
      <c r="AE86" s="138">
        <v>0</v>
      </c>
      <c r="AF86" s="238">
        <f t="shared" si="0"/>
        <v>1000000</v>
      </c>
      <c r="AG86" s="66">
        <f>IF(B86="","",IF(AQ86="総合事業","数式を削除して手入力",IFERROR(INDEX(【参考】数式用!$AD$3:$AF$452,MATCH(Q86&amp;V86,【参考】数式用!$AC$3:$AC$452,0),MATCH(VLOOKUP(Z86,【参考】数式用!$AG$2:$AH$56,2,FALSE),【参考】数式用!$AD$2:$AF$2,0)),10)))</f>
        <v>10</v>
      </c>
      <c r="AP86" s="503" t="str">
        <f>IF($L$16="", "", VLOOKUP(Z86,【参考】数式用!$A$2:$O$57,14,FALSE))</f>
        <v>加算対象外</v>
      </c>
      <c r="AQ86" s="283" t="str">
        <f>VLOOKUP(Z86,【参考】数式用!$A$2:$O$57,15,FALSE)</f>
        <v>その他</v>
      </c>
    </row>
    <row r="87" spans="1:43" ht="49.95" customHeight="1">
      <c r="A87" s="237">
        <f t="shared" si="1"/>
        <v>48</v>
      </c>
      <c r="B87" s="648" t="s">
        <v>2524</v>
      </c>
      <c r="C87" s="649"/>
      <c r="D87" s="649"/>
      <c r="E87" s="649"/>
      <c r="F87" s="649"/>
      <c r="G87" s="649"/>
      <c r="H87" s="649"/>
      <c r="I87" s="649"/>
      <c r="J87" s="649"/>
      <c r="K87" s="649"/>
      <c r="L87" s="650" t="s">
        <v>2530</v>
      </c>
      <c r="M87" s="650"/>
      <c r="N87" s="650"/>
      <c r="O87" s="650"/>
      <c r="P87" s="650"/>
      <c r="Q87" s="703" t="s">
        <v>448</v>
      </c>
      <c r="R87" s="703"/>
      <c r="S87" s="703"/>
      <c r="T87" s="703"/>
      <c r="U87" s="703"/>
      <c r="V87" s="478" t="s">
        <v>1523</v>
      </c>
      <c r="W87" s="635" t="s">
        <v>2563</v>
      </c>
      <c r="X87" s="635"/>
      <c r="Y87" s="635"/>
      <c r="Z87" s="635" t="s">
        <v>760</v>
      </c>
      <c r="AA87" s="635"/>
      <c r="AB87" s="635"/>
      <c r="AC87" s="236">
        <f>IFERROR(VLOOKUP(Z87,【参考】数式用!$A$4:$B$57,2,FALSE),"")</f>
        <v>64</v>
      </c>
      <c r="AD87" s="137">
        <v>1000000</v>
      </c>
      <c r="AE87" s="138">
        <v>0</v>
      </c>
      <c r="AF87" s="238">
        <f t="shared" si="0"/>
        <v>1000000</v>
      </c>
      <c r="AG87" s="66">
        <f>IF(B87="","",IF(AQ87="総合事業","数式を削除して手入力",IFERROR(INDEX(【参考】数式用!$AD$3:$AF$452,MATCH(Q87&amp;V87,【参考】数式用!$AC$3:$AC$452,0),MATCH(VLOOKUP(Z87,【参考】数式用!$AG$2:$AH$56,2,FALSE),【参考】数式用!$AD$2:$AF$2,0)),10)))</f>
        <v>10</v>
      </c>
      <c r="AP87" s="503" t="str">
        <f>IF($L$16="", "", VLOOKUP(Z87,【参考】数式用!$A$2:$O$57,14,FALSE))</f>
        <v>加算対象外</v>
      </c>
      <c r="AQ87" s="283" t="str">
        <f>VLOOKUP(Z87,【参考】数式用!$A$2:$O$57,15,FALSE)</f>
        <v>介護予防</v>
      </c>
    </row>
    <row r="88" spans="1:43" ht="49.95" customHeight="1">
      <c r="A88" s="237">
        <f t="shared" si="1"/>
        <v>49</v>
      </c>
      <c r="B88" s="648" t="s">
        <v>2525</v>
      </c>
      <c r="C88" s="649"/>
      <c r="D88" s="649"/>
      <c r="E88" s="649"/>
      <c r="F88" s="649"/>
      <c r="G88" s="649"/>
      <c r="H88" s="649"/>
      <c r="I88" s="649"/>
      <c r="J88" s="649"/>
      <c r="K88" s="649"/>
      <c r="L88" s="650" t="s">
        <v>2540</v>
      </c>
      <c r="M88" s="650"/>
      <c r="N88" s="650"/>
      <c r="O88" s="650"/>
      <c r="P88" s="650"/>
      <c r="Q88" s="703" t="s">
        <v>448</v>
      </c>
      <c r="R88" s="703"/>
      <c r="S88" s="703"/>
      <c r="T88" s="703"/>
      <c r="U88" s="703"/>
      <c r="V88" s="478" t="s">
        <v>1246</v>
      </c>
      <c r="W88" s="635" t="s">
        <v>2564</v>
      </c>
      <c r="X88" s="635"/>
      <c r="Y88" s="635"/>
      <c r="Z88" s="635" t="s">
        <v>2590</v>
      </c>
      <c r="AA88" s="635"/>
      <c r="AB88" s="635"/>
      <c r="AC88" s="236">
        <f>IFERROR(VLOOKUP(Z88,【参考】数式用!$A$4:$B$57,2,FALSE),"")</f>
        <v>43</v>
      </c>
      <c r="AD88" s="137">
        <v>1000000</v>
      </c>
      <c r="AE88" s="138">
        <v>0</v>
      </c>
      <c r="AF88" s="238">
        <f t="shared" si="0"/>
        <v>1000000</v>
      </c>
      <c r="AG88" s="66">
        <f>IF(B88="","",IF(AQ88="総合事業","数式を削除して手入力",IFERROR(INDEX(【参考】数式用!$AD$3:$AF$452,MATCH(Q88&amp;V88,【参考】数式用!$AC$3:$AC$452,0),MATCH(VLOOKUP(Z88,【参考】数式用!$AG$2:$AH$56,2,FALSE),【参考】数式用!$AD$2:$AF$2,0)),10)))</f>
        <v>10.210000000000001</v>
      </c>
      <c r="AP88" s="503" t="str">
        <f>IF($L$16="", "", VLOOKUP(Z88,【参考】数式用!$A$2:$O$57,14,FALSE))</f>
        <v>加算対象外</v>
      </c>
      <c r="AQ88" s="283" t="str">
        <f>VLOOKUP(Z88,【参考】数式用!$A$2:$O$57,15,FALSE)</f>
        <v>その他</v>
      </c>
    </row>
    <row r="89" spans="1:43" ht="49.95" customHeight="1">
      <c r="A89" s="237">
        <f t="shared" si="1"/>
        <v>50</v>
      </c>
      <c r="B89" s="648" t="s">
        <v>2526</v>
      </c>
      <c r="C89" s="649"/>
      <c r="D89" s="649"/>
      <c r="E89" s="649"/>
      <c r="F89" s="649"/>
      <c r="G89" s="649"/>
      <c r="H89" s="649"/>
      <c r="I89" s="649"/>
      <c r="J89" s="649"/>
      <c r="K89" s="649"/>
      <c r="L89" s="650" t="s">
        <v>2541</v>
      </c>
      <c r="M89" s="650"/>
      <c r="N89" s="650"/>
      <c r="O89" s="650"/>
      <c r="P89" s="650"/>
      <c r="Q89" s="703" t="s">
        <v>448</v>
      </c>
      <c r="R89" s="703"/>
      <c r="S89" s="703"/>
      <c r="T89" s="703"/>
      <c r="U89" s="703"/>
      <c r="V89" s="478" t="s">
        <v>1248</v>
      </c>
      <c r="W89" s="635" t="s">
        <v>2565</v>
      </c>
      <c r="X89" s="635"/>
      <c r="Y89" s="635"/>
      <c r="Z89" s="635" t="s">
        <v>2591</v>
      </c>
      <c r="AA89" s="635"/>
      <c r="AB89" s="635"/>
      <c r="AC89" s="236">
        <f>IFERROR(VLOOKUP(Z89,【参考】数式用!$A$4:$B$57,2,FALSE),"")</f>
        <v>46</v>
      </c>
      <c r="AD89" s="137">
        <v>1000000</v>
      </c>
      <c r="AE89" s="138">
        <v>0</v>
      </c>
      <c r="AF89" s="238">
        <f t="shared" si="0"/>
        <v>1000000</v>
      </c>
      <c r="AG89" s="66">
        <f>IF(B89="","",IF(AQ89="総合事業","数式を削除して手入力",IFERROR(INDEX(【参考】数式用!$AD$3:$AF$452,MATCH(Q89&amp;V89,【参考】数式用!$AC$3:$AC$452,0),MATCH(VLOOKUP(Z89,【参考】数式用!$AG$2:$AH$56,2,FALSE),【参考】数式用!$AD$2:$AF$2,0)),10)))</f>
        <v>10.210000000000001</v>
      </c>
      <c r="AP89" s="503" t="str">
        <f>IF($L$16="", "", VLOOKUP(Z89,【参考】数式用!$A$2:$O$57,14,FALSE))</f>
        <v>加算対象外</v>
      </c>
      <c r="AQ89" s="283" t="str">
        <f>VLOOKUP(Z89,【参考】数式用!$A$2:$O$57,15,FALSE)</f>
        <v>介護予防</v>
      </c>
    </row>
    <row r="90" spans="1:43" ht="49.95" customHeight="1">
      <c r="A90" s="237">
        <f t="shared" si="1"/>
        <v>51</v>
      </c>
      <c r="B90" s="648" t="s">
        <v>2527</v>
      </c>
      <c r="C90" s="649"/>
      <c r="D90" s="649"/>
      <c r="E90" s="649"/>
      <c r="F90" s="649"/>
      <c r="G90" s="649"/>
      <c r="H90" s="649"/>
      <c r="I90" s="649"/>
      <c r="J90" s="649"/>
      <c r="K90" s="649"/>
      <c r="L90" s="650" t="s">
        <v>2542</v>
      </c>
      <c r="M90" s="650"/>
      <c r="N90" s="650"/>
      <c r="O90" s="650"/>
      <c r="P90" s="650"/>
      <c r="Q90" s="703" t="s">
        <v>448</v>
      </c>
      <c r="R90" s="703"/>
      <c r="S90" s="703"/>
      <c r="T90" s="703"/>
      <c r="U90" s="703"/>
      <c r="V90" s="478" t="s">
        <v>1250</v>
      </c>
      <c r="W90" s="635" t="s">
        <v>2566</v>
      </c>
      <c r="X90" s="635"/>
      <c r="Y90" s="635"/>
      <c r="Z90" s="635" t="s">
        <v>2592</v>
      </c>
      <c r="AA90" s="635"/>
      <c r="AB90" s="635"/>
      <c r="AC90" s="236" t="str">
        <f>IFERROR(VLOOKUP(Z90,【参考】数式用!$A$4:$B$57,2,FALSE),"")</f>
        <v>AF</v>
      </c>
      <c r="AD90" s="137">
        <v>1000000</v>
      </c>
      <c r="AE90" s="138">
        <v>0</v>
      </c>
      <c r="AF90" s="238">
        <f t="shared" si="0"/>
        <v>1000000</v>
      </c>
      <c r="AG90" s="66">
        <v>10.210000000000001</v>
      </c>
      <c r="AP90" s="503" t="str">
        <f>IF($L$16="", "", VLOOKUP(Z90,【参考】数式用!$A$2:$O$57,14,FALSE))</f>
        <v>加算対象外</v>
      </c>
      <c r="AQ90" s="283" t="str">
        <f>VLOOKUP(Z90,【参考】数式用!$A$2:$O$57,15,FALSE)</f>
        <v>総合事業</v>
      </c>
    </row>
    <row r="91" spans="1:43" ht="49.95" customHeight="1">
      <c r="A91" s="237">
        <f t="shared" si="1"/>
        <v>52</v>
      </c>
      <c r="B91" s="648"/>
      <c r="C91" s="649"/>
      <c r="D91" s="649"/>
      <c r="E91" s="649"/>
      <c r="F91" s="649"/>
      <c r="G91" s="649"/>
      <c r="H91" s="649"/>
      <c r="I91" s="649"/>
      <c r="J91" s="649"/>
      <c r="K91" s="649"/>
      <c r="L91" s="650"/>
      <c r="M91" s="650"/>
      <c r="N91" s="650"/>
      <c r="O91" s="650"/>
      <c r="P91" s="650"/>
      <c r="Q91" s="703"/>
      <c r="R91" s="703"/>
      <c r="S91" s="703"/>
      <c r="T91" s="703"/>
      <c r="U91" s="703"/>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48"/>
      <c r="C92" s="649"/>
      <c r="D92" s="649"/>
      <c r="E92" s="649"/>
      <c r="F92" s="649"/>
      <c r="G92" s="649"/>
      <c r="H92" s="649"/>
      <c r="I92" s="649"/>
      <c r="J92" s="649"/>
      <c r="K92" s="649"/>
      <c r="L92" s="650"/>
      <c r="M92" s="650"/>
      <c r="N92" s="650"/>
      <c r="O92" s="650"/>
      <c r="P92" s="650"/>
      <c r="Q92" s="703"/>
      <c r="R92" s="703"/>
      <c r="S92" s="703"/>
      <c r="T92" s="703"/>
      <c r="U92" s="703"/>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48"/>
      <c r="C93" s="649"/>
      <c r="D93" s="649"/>
      <c r="E93" s="649"/>
      <c r="F93" s="649"/>
      <c r="G93" s="649"/>
      <c r="H93" s="649"/>
      <c r="I93" s="649"/>
      <c r="J93" s="649"/>
      <c r="K93" s="649"/>
      <c r="L93" s="650"/>
      <c r="M93" s="650"/>
      <c r="N93" s="650"/>
      <c r="O93" s="650"/>
      <c r="P93" s="650"/>
      <c r="Q93" s="703"/>
      <c r="R93" s="703"/>
      <c r="S93" s="703"/>
      <c r="T93" s="703"/>
      <c r="U93" s="703"/>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48"/>
      <c r="C94" s="649"/>
      <c r="D94" s="649"/>
      <c r="E94" s="649"/>
      <c r="F94" s="649"/>
      <c r="G94" s="649"/>
      <c r="H94" s="649"/>
      <c r="I94" s="649"/>
      <c r="J94" s="649"/>
      <c r="K94" s="649"/>
      <c r="L94" s="650"/>
      <c r="M94" s="650"/>
      <c r="N94" s="650"/>
      <c r="O94" s="650"/>
      <c r="P94" s="650"/>
      <c r="Q94" s="703"/>
      <c r="R94" s="703"/>
      <c r="S94" s="703"/>
      <c r="T94" s="703"/>
      <c r="U94" s="703"/>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48"/>
      <c r="C95" s="649"/>
      <c r="D95" s="649"/>
      <c r="E95" s="649"/>
      <c r="F95" s="649"/>
      <c r="G95" s="649"/>
      <c r="H95" s="649"/>
      <c r="I95" s="649"/>
      <c r="J95" s="649"/>
      <c r="K95" s="649"/>
      <c r="L95" s="650"/>
      <c r="M95" s="650"/>
      <c r="N95" s="650"/>
      <c r="O95" s="650"/>
      <c r="P95" s="650"/>
      <c r="Q95" s="703"/>
      <c r="R95" s="703"/>
      <c r="S95" s="703"/>
      <c r="T95" s="703"/>
      <c r="U95" s="703"/>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48"/>
      <c r="C96" s="649"/>
      <c r="D96" s="649"/>
      <c r="E96" s="649"/>
      <c r="F96" s="649"/>
      <c r="G96" s="649"/>
      <c r="H96" s="649"/>
      <c r="I96" s="649"/>
      <c r="J96" s="649"/>
      <c r="K96" s="649"/>
      <c r="L96" s="650"/>
      <c r="M96" s="650"/>
      <c r="N96" s="650"/>
      <c r="O96" s="650"/>
      <c r="P96" s="650"/>
      <c r="Q96" s="703"/>
      <c r="R96" s="703"/>
      <c r="S96" s="703"/>
      <c r="T96" s="703"/>
      <c r="U96" s="703"/>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48"/>
      <c r="C97" s="649"/>
      <c r="D97" s="649"/>
      <c r="E97" s="649"/>
      <c r="F97" s="649"/>
      <c r="G97" s="649"/>
      <c r="H97" s="649"/>
      <c r="I97" s="649"/>
      <c r="J97" s="649"/>
      <c r="K97" s="649"/>
      <c r="L97" s="650"/>
      <c r="M97" s="650"/>
      <c r="N97" s="650"/>
      <c r="O97" s="650"/>
      <c r="P97" s="650"/>
      <c r="Q97" s="703"/>
      <c r="R97" s="703"/>
      <c r="S97" s="703"/>
      <c r="T97" s="703"/>
      <c r="U97" s="703"/>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48"/>
      <c r="C98" s="649"/>
      <c r="D98" s="649"/>
      <c r="E98" s="649"/>
      <c r="F98" s="649"/>
      <c r="G98" s="649"/>
      <c r="H98" s="649"/>
      <c r="I98" s="649"/>
      <c r="J98" s="649"/>
      <c r="K98" s="649"/>
      <c r="L98" s="650"/>
      <c r="M98" s="650"/>
      <c r="N98" s="650"/>
      <c r="O98" s="650"/>
      <c r="P98" s="650"/>
      <c r="Q98" s="703"/>
      <c r="R98" s="703"/>
      <c r="S98" s="703"/>
      <c r="T98" s="703"/>
      <c r="U98" s="703"/>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48"/>
      <c r="C99" s="649"/>
      <c r="D99" s="649"/>
      <c r="E99" s="649"/>
      <c r="F99" s="649"/>
      <c r="G99" s="649"/>
      <c r="H99" s="649"/>
      <c r="I99" s="649"/>
      <c r="J99" s="649"/>
      <c r="K99" s="649"/>
      <c r="L99" s="650"/>
      <c r="M99" s="650"/>
      <c r="N99" s="650"/>
      <c r="O99" s="650"/>
      <c r="P99" s="650"/>
      <c r="Q99" s="703"/>
      <c r="R99" s="703"/>
      <c r="S99" s="703"/>
      <c r="T99" s="703"/>
      <c r="U99" s="703"/>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茨城県</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763" t="s">
        <v>53</v>
      </c>
      <c r="B3" s="763"/>
      <c r="C3" s="764"/>
      <c r="D3" s="765" t="str">
        <f>IF(基本情報入力シート!L16="","",基本情報入力シート!L16)</f>
        <v>社会福祉法人　長福</v>
      </c>
      <c r="E3" s="766"/>
      <c r="F3" s="766"/>
      <c r="G3" s="766"/>
      <c r="H3" s="766"/>
      <c r="I3" s="766"/>
      <c r="J3" s="76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30" t="s">
        <v>218</v>
      </c>
      <c r="AF4" s="730"/>
      <c r="AG4" s="730"/>
      <c r="AH4" s="730"/>
      <c r="AI4" s="730"/>
      <c r="AJ4" s="730"/>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768" t="s">
        <v>219</v>
      </c>
      <c r="B5" s="769"/>
      <c r="C5" s="769"/>
      <c r="D5" s="769"/>
      <c r="E5" s="769"/>
      <c r="F5" s="769"/>
      <c r="G5" s="769"/>
      <c r="H5" s="769"/>
      <c r="I5" s="769"/>
      <c r="J5" s="769"/>
      <c r="K5" s="770"/>
      <c r="L5" s="771">
        <f>IFERROR(SUM(AB:AB),"")</f>
        <v>99431966</v>
      </c>
      <c r="M5" s="772"/>
      <c r="N5" s="431" t="s">
        <v>61</v>
      </c>
      <c r="O5" s="425"/>
      <c r="P5" s="432"/>
      <c r="Q5" s="406"/>
      <c r="R5" s="407"/>
      <c r="S5" s="284"/>
      <c r="T5" s="408"/>
      <c r="U5" s="408"/>
      <c r="V5" s="408"/>
      <c r="W5" s="408"/>
      <c r="X5" s="408"/>
      <c r="Y5" s="408"/>
      <c r="Z5" s="408"/>
      <c r="AA5" s="408"/>
      <c r="AB5" s="408"/>
      <c r="AC5" s="408"/>
      <c r="AD5" s="409"/>
      <c r="AE5" s="731" t="s">
        <v>220</v>
      </c>
      <c r="AF5" s="732"/>
      <c r="AG5" s="732"/>
      <c r="AH5" s="732"/>
      <c r="AI5" s="733"/>
      <c r="AJ5" s="433">
        <f>COUNTIF(AT:AT,"対象")</f>
        <v>35</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784" t="s">
        <v>221</v>
      </c>
      <c r="C6" s="785"/>
      <c r="D6" s="785"/>
      <c r="E6" s="785"/>
      <c r="F6" s="785"/>
      <c r="G6" s="785"/>
      <c r="H6" s="785"/>
      <c r="I6" s="785"/>
      <c r="J6" s="785"/>
      <c r="K6" s="786"/>
      <c r="L6" s="771">
        <f>IFERROR(SUM(AC:AC),"")</f>
        <v>33757329</v>
      </c>
      <c r="M6" s="772"/>
      <c r="N6" s="431" t="s">
        <v>61</v>
      </c>
      <c r="O6" s="405"/>
      <c r="P6" s="432"/>
      <c r="Q6" s="406"/>
      <c r="R6" s="407"/>
      <c r="S6" s="284"/>
      <c r="T6" s="408"/>
      <c r="U6" s="408"/>
      <c r="V6" s="408"/>
      <c r="W6" s="408"/>
      <c r="X6" s="408"/>
      <c r="Y6" s="408"/>
      <c r="Z6" s="408"/>
      <c r="AA6" s="408"/>
      <c r="AB6" s="408"/>
      <c r="AC6" s="408"/>
      <c r="AD6" s="409"/>
      <c r="AE6" s="731" t="s">
        <v>222</v>
      </c>
      <c r="AF6" s="732"/>
      <c r="AG6" s="732"/>
      <c r="AH6" s="732"/>
      <c r="AI6" s="733"/>
      <c r="AJ6" s="435">
        <f>SUM(AG12:AG111)</f>
        <v>19</v>
      </c>
      <c r="AK6" s="523"/>
      <c r="AL6" s="523"/>
      <c r="AM6" s="523"/>
      <c r="AN6" s="523"/>
      <c r="AO6" s="523"/>
      <c r="AP6" s="524"/>
      <c r="AQ6" s="516"/>
      <c r="AR6" s="523"/>
      <c r="AS6" s="516"/>
      <c r="AT6" s="516"/>
      <c r="AU6" s="525"/>
      <c r="AV6" s="525"/>
      <c r="AW6" s="525"/>
      <c r="AX6" s="783"/>
      <c r="AY6" s="783"/>
      <c r="AZ6" s="783"/>
      <c r="BA6" s="783"/>
      <c r="BB6" s="783"/>
      <c r="BC6" s="783"/>
      <c r="BD6" s="783"/>
      <c r="BE6" s="783"/>
      <c r="BF6" s="783"/>
      <c r="BG6" s="783"/>
      <c r="BH6" s="783"/>
      <c r="BI6" s="783"/>
      <c r="BJ6" s="526"/>
      <c r="BK6" s="783"/>
      <c r="BL6" s="783"/>
      <c r="BM6" s="783"/>
      <c r="BN6" s="783"/>
      <c r="BO6" s="783"/>
    </row>
    <row r="7" spans="1:68" s="518" customFormat="1" ht="35.25" customHeight="1" thickBot="1">
      <c r="A7" s="734" t="s">
        <v>223</v>
      </c>
      <c r="B7" s="734"/>
      <c r="C7" s="734"/>
      <c r="D7" s="734"/>
      <c r="E7" s="734"/>
      <c r="F7" s="734"/>
      <c r="G7" s="734"/>
      <c r="H7" s="734"/>
      <c r="I7" s="734"/>
      <c r="J7" s="734"/>
      <c r="K7" s="734"/>
      <c r="L7" s="734"/>
      <c r="M7" s="734"/>
      <c r="N7" s="436"/>
      <c r="O7" s="405"/>
      <c r="P7" s="432"/>
      <c r="Q7" s="406"/>
      <c r="R7" s="407"/>
      <c r="S7" s="284"/>
      <c r="T7" s="408"/>
      <c r="U7" s="408"/>
      <c r="V7" s="408"/>
      <c r="W7" s="408"/>
      <c r="X7" s="408"/>
      <c r="Y7" s="408"/>
      <c r="Z7" s="408"/>
      <c r="AA7" s="408"/>
      <c r="AB7" s="408"/>
      <c r="AC7" s="408"/>
      <c r="AD7" s="409"/>
      <c r="AE7" s="731" t="s">
        <v>224</v>
      </c>
      <c r="AF7" s="732"/>
      <c r="AG7" s="732"/>
      <c r="AH7" s="732"/>
      <c r="AI7" s="733"/>
      <c r="AJ7" s="435">
        <f>COUNTIF(AH:AH,"*令和８年度特例要件を*")</f>
        <v>8</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780"/>
      <c r="AR8" s="780"/>
      <c r="AS8" s="780"/>
      <c r="AT8" s="780"/>
      <c r="AU8" s="780"/>
      <c r="AV8" s="780"/>
      <c r="AW8" s="780"/>
      <c r="AX8" s="780"/>
      <c r="AY8" s="527"/>
      <c r="AZ8" s="780"/>
      <c r="BA8" s="780"/>
      <c r="BB8" s="780"/>
      <c r="BC8" s="780"/>
      <c r="BD8" s="780"/>
      <c r="BE8" s="780"/>
      <c r="BF8" s="527"/>
      <c r="BG8" s="780"/>
      <c r="BH8" s="780"/>
      <c r="BI8" s="780"/>
      <c r="BJ8" s="780"/>
      <c r="BK8" s="780"/>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81" t="str">
        <f>IF(D3="", "", IFERROR(IF(COUNTIF(AP12:AP111,"未入力")=0,"○","×"),""))</f>
        <v>○</v>
      </c>
      <c r="AD9" s="782"/>
      <c r="AE9" s="443" t="str">
        <f>IF(D3="", "", IFERROR(IF(COUNTIF(AQ:AQ,"未入力")=0,"○","×"),""))</f>
        <v>○</v>
      </c>
      <c r="AF9" s="443" t="str">
        <f>IF(D3="", "", IFERROR(IF(COUNTIF(AS:AS,"未入力")=0,"○","×"),""))</f>
        <v>○</v>
      </c>
      <c r="AG9" s="781" t="str">
        <f>IF(D3="", "", IFERROR(IF(COUNTIF(AW:AW,"未入力")=0,"○","×"),""))</f>
        <v>○</v>
      </c>
      <c r="AH9" s="782"/>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752"/>
      <c r="B10" s="754" t="s">
        <v>225</v>
      </c>
      <c r="C10" s="755"/>
      <c r="D10" s="755"/>
      <c r="E10" s="755"/>
      <c r="F10" s="756"/>
      <c r="G10" s="760" t="s">
        <v>39</v>
      </c>
      <c r="H10" s="773" t="s">
        <v>40</v>
      </c>
      <c r="I10" s="773"/>
      <c r="J10" s="774" t="s">
        <v>226</v>
      </c>
      <c r="K10" s="776" t="s">
        <v>42</v>
      </c>
      <c r="L10" s="745" t="s">
        <v>227</v>
      </c>
      <c r="M10" s="747" t="s">
        <v>228</v>
      </c>
      <c r="N10" s="749" t="s">
        <v>229</v>
      </c>
      <c r="O10" s="744" t="s">
        <v>230</v>
      </c>
      <c r="P10" s="735" t="s">
        <v>231</v>
      </c>
      <c r="Q10" s="736"/>
      <c r="R10" s="736"/>
      <c r="S10" s="736"/>
      <c r="T10" s="736"/>
      <c r="U10" s="736"/>
      <c r="V10" s="736"/>
      <c r="W10" s="736"/>
      <c r="X10" s="736"/>
      <c r="Y10" s="736"/>
      <c r="Z10" s="736"/>
      <c r="AA10" s="737"/>
      <c r="AB10" s="741" t="s">
        <v>232</v>
      </c>
      <c r="AC10" s="743" t="s">
        <v>233</v>
      </c>
      <c r="AD10" s="744"/>
      <c r="AE10" s="445" t="s">
        <v>234</v>
      </c>
      <c r="AF10" s="445" t="s">
        <v>235</v>
      </c>
      <c r="AG10" s="762" t="s">
        <v>236</v>
      </c>
      <c r="AH10" s="744"/>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753"/>
      <c r="B11" s="757"/>
      <c r="C11" s="758"/>
      <c r="D11" s="758"/>
      <c r="E11" s="758"/>
      <c r="F11" s="759"/>
      <c r="G11" s="761"/>
      <c r="H11" s="448" t="s">
        <v>240</v>
      </c>
      <c r="I11" s="448" t="s">
        <v>241</v>
      </c>
      <c r="J11" s="775"/>
      <c r="K11" s="777"/>
      <c r="L11" s="746"/>
      <c r="M11" s="748"/>
      <c r="N11" s="750"/>
      <c r="O11" s="751"/>
      <c r="P11" s="738"/>
      <c r="Q11" s="739"/>
      <c r="R11" s="739"/>
      <c r="S11" s="739"/>
      <c r="T11" s="739"/>
      <c r="U11" s="739"/>
      <c r="V11" s="739"/>
      <c r="W11" s="739"/>
      <c r="X11" s="739"/>
      <c r="Y11" s="739"/>
      <c r="Z11" s="739"/>
      <c r="AA11" s="740"/>
      <c r="AB11" s="742"/>
      <c r="AC11" s="449" t="s">
        <v>242</v>
      </c>
      <c r="AD11" s="450" t="s">
        <v>243</v>
      </c>
      <c r="AE11" s="451" t="s">
        <v>244</v>
      </c>
      <c r="AF11" s="452" t="s">
        <v>245</v>
      </c>
      <c r="AG11" s="452" t="s">
        <v>246</v>
      </c>
      <c r="AH11" s="453" t="s">
        <v>247</v>
      </c>
      <c r="AI11" s="454" t="s">
        <v>248</v>
      </c>
      <c r="AJ11" s="455" t="s">
        <v>249</v>
      </c>
      <c r="AK11" s="778" t="s">
        <v>250</v>
      </c>
      <c r="AL11" s="779"/>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724" t="str">
        <f>IF(基本情報入力シート!B40="","",基本情報入力シート!B40)</f>
        <v>0811111111</v>
      </c>
      <c r="C12" s="725"/>
      <c r="D12" s="725"/>
      <c r="E12" s="725"/>
      <c r="F12" s="726"/>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IF(基本情報入力シート!AG40="","",基本情報入力シート!AG40)</f>
        <v>10.7</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4068568</v>
      </c>
      <c r="AC12" s="462">
        <f>IFERROR(ROUNDDOWN(ROUNDDOWN(ROUND(L12*VLOOKUP(K12,【参考】数式用!$A$4:$F$57,MATCH("処遇改善加算Ⅳ",【参考】数式用!$C$3:$F$3,0)+2,0),0)*M12,0)*Z12*0.5,0), "")</f>
        <v>1203964</v>
      </c>
      <c r="AD12" s="156" t="s">
        <v>2596</v>
      </c>
      <c r="AE12" s="157" t="s">
        <v>2596</v>
      </c>
      <c r="AF12" s="157" t="s">
        <v>2596</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水戸市</v>
      </c>
      <c r="BF12" s="536">
        <f>IF(COUNTIF(BD:BD,"*入力必要*"),1,0)</f>
        <v>1</v>
      </c>
      <c r="BG12" s="536">
        <f>IF(COUNTIF(AH$12:AH$1048576,"*その他（小規模等により適用除外）*"),1,0)</f>
        <v>1</v>
      </c>
      <c r="BM12" s="552"/>
    </row>
    <row r="13" spans="1:68" s="553" customFormat="1" ht="109.95" customHeight="1" thickBot="1">
      <c r="A13" s="456">
        <v>2</v>
      </c>
      <c r="B13" s="724" t="str">
        <f>IF(基本情報入力シート!B41="","",基本情報入力シート!B41)</f>
        <v>0811111111</v>
      </c>
      <c r="C13" s="725"/>
      <c r="D13" s="725"/>
      <c r="E13" s="725"/>
      <c r="F13" s="726"/>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IF(基本情報入力シート!AG41="","",基本情報入力シート!AG41)</f>
        <v>10.7</v>
      </c>
      <c r="N13" s="136" t="s">
        <v>367</v>
      </c>
      <c r="O13" s="155">
        <f>IFERROR(VLOOKUP(K13,【参考】数式用!$A$2:$F$57,MATCH(N13,【参考】数式用!$C$3:$F$3,0)+2,0),"")</f>
        <v>0.245</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4068568</v>
      </c>
      <c r="AC13" s="462">
        <f>IFERROR(ROUNDDOWN(ROUNDDOWN(ROUND(L13*VLOOKUP(K13,【参考】数式用!$A$4:$F$57,MATCH("処遇改善加算Ⅳ",【参考】数式用!$C$3:$F$3,0)+2,0),0)*M13,0)*Z13*0.5,0), "")</f>
        <v>1203964</v>
      </c>
      <c r="AD13" s="156" t="s">
        <v>2596</v>
      </c>
      <c r="AE13" s="157" t="s">
        <v>2596</v>
      </c>
      <c r="AF13" s="157" t="s">
        <v>2596</v>
      </c>
      <c r="AG13" s="158">
        <v>0</v>
      </c>
      <c r="AH13" s="159" t="s">
        <v>569</v>
      </c>
      <c r="AI13" s="161" t="s">
        <v>389</v>
      </c>
      <c r="AJ13" s="161"/>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訪問型サービス_独自_Ⅴ</v>
      </c>
      <c r="AY13" s="551" t="str">
        <f t="shared" ref="AY13:AY77" si="13">IF(AND(AN13="加算対象",N13="処遇改善加算Ⅰ"),"AI列に色付け","")</f>
        <v>AI列に色付け</v>
      </c>
      <c r="AZ13" s="551" t="str">
        <f t="shared" ref="AZ13:AZ77" si="14">IF(AND(N13="処遇改善加算Ⅰ", AI13=""), "未入力","入力済")</f>
        <v>入力済</v>
      </c>
      <c r="BA13" s="550" t="str">
        <f>IFERROR(VLOOKUP(K13,【参考】数式用!$AX$3:$AY$56, 2, FALSE), "")</f>
        <v>訪問型サービス_独自_R8</v>
      </c>
      <c r="BB13" s="551" t="str">
        <f t="shared" si="0"/>
        <v/>
      </c>
      <c r="BC13" s="551" t="str">
        <f t="shared" ref="BC13:BC43" si="15">IF(AND(COUNTIF(AE13:AH13,"*令和８年度特例要件を*")&gt;0,AJ13=""), "未入力","入力済")</f>
        <v>入力済</v>
      </c>
      <c r="BD13" s="551" t="str">
        <f>IF(BB13="AJ列に色付け","入力必要","")</f>
        <v/>
      </c>
      <c r="BE13" s="551" t="str">
        <f t="shared" si="1"/>
        <v>水戸市</v>
      </c>
      <c r="BF13" s="516"/>
      <c r="BG13" s="516"/>
      <c r="BH13" s="516"/>
      <c r="BI13" s="516"/>
      <c r="BJ13" s="516"/>
      <c r="BK13" s="516"/>
      <c r="BL13" s="516"/>
      <c r="BM13" s="516"/>
      <c r="BN13" s="516"/>
      <c r="BO13" s="517"/>
      <c r="BP13" s="518"/>
    </row>
    <row r="14" spans="1:68" s="553" customFormat="1" ht="109.95" customHeight="1" thickBot="1">
      <c r="A14" s="456">
        <v>3</v>
      </c>
      <c r="B14" s="724" t="str">
        <f>IF(基本情報入力シート!B42="","",基本情報入力シート!B42)</f>
        <v>0811111111</v>
      </c>
      <c r="C14" s="725"/>
      <c r="D14" s="725"/>
      <c r="E14" s="725"/>
      <c r="F14" s="726"/>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IF(基本情報入力シート!AG42="","",基本情報入力シート!AG42)</f>
        <v>10.7</v>
      </c>
      <c r="N14" s="136" t="s">
        <v>367</v>
      </c>
      <c r="O14" s="155">
        <f>IFERROR(VLOOKUP(K14,【参考】数式用!$A$2:$F$57,MATCH(N14,【参考】数式用!$C$3:$F$3,0)+2,0),"")</f>
        <v>0.245</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4068568</v>
      </c>
      <c r="AC14" s="462">
        <f>IFERROR(ROUNDDOWN(ROUNDDOWN(ROUND(L14*VLOOKUP(K14,【参考】数式用!$A$4:$F$57,MATCH("処遇改善加算Ⅳ",【参考】数式用!$C$3:$F$3,0)+2,0),0)*M14,0)*Z14*0.5,0), "")</f>
        <v>1203964</v>
      </c>
      <c r="AD14" s="156" t="s">
        <v>2596</v>
      </c>
      <c r="AE14" s="157" t="s">
        <v>2596</v>
      </c>
      <c r="AF14" s="157" t="s">
        <v>2596</v>
      </c>
      <c r="AG14" s="158">
        <v>0</v>
      </c>
      <c r="AH14" s="159" t="s">
        <v>569</v>
      </c>
      <c r="AI14" s="161" t="s">
        <v>389</v>
      </c>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対象</v>
      </c>
      <c r="AU14" s="550">
        <f>IF(AND(AN14="加算対象",N14&lt;&gt;"処遇改善加算Ⅲ",N14&lt;&gt;"処遇改善加算Ⅳ", N14&lt;&gt;"", AT14&lt;&gt;"対象外"), 1,"")</f>
        <v>1</v>
      </c>
      <c r="AV14" s="551" t="str">
        <f t="shared" si="11"/>
        <v>AH列に色付け</v>
      </c>
      <c r="AW14" s="551" t="str">
        <f t="shared" si="12"/>
        <v>入力済</v>
      </c>
      <c r="AX14" s="550" t="str">
        <f>IFERROR(VLOOKUP(K14,【参考】数式用!$AR$3:$AS$49,2, FALSE), "")</f>
        <v>訪問型サービス_独自_定率_Ⅴ</v>
      </c>
      <c r="AY14" s="551" t="str">
        <f>IF(AND(AN14="加算対象",N14="処遇改善加算Ⅰ"),"AI列に色付け","")</f>
        <v>AI列に色付け</v>
      </c>
      <c r="AZ14" s="551" t="str">
        <f t="shared" si="14"/>
        <v>入力済</v>
      </c>
      <c r="BA14" s="550" t="str">
        <f>IFERROR(VLOOKUP(K14,【参考】数式用!$AX$3:$AY$56, 2, FALSE), "")</f>
        <v>訪問型サービス_独自_定率_R8</v>
      </c>
      <c r="BB14" s="551" t="str">
        <f t="shared" si="0"/>
        <v/>
      </c>
      <c r="BC14" s="551" t="str">
        <f t="shared" si="15"/>
        <v>入力済</v>
      </c>
      <c r="BD14" s="551" t="str">
        <f t="shared" ref="BD14:BD77" si="17">IF(BB14="AJ列に色付け","入力必要","")</f>
        <v/>
      </c>
      <c r="BE14" s="551" t="str">
        <f t="shared" si="1"/>
        <v>水戸市</v>
      </c>
      <c r="BF14" s="516"/>
      <c r="BG14" s="516"/>
      <c r="BH14" s="516"/>
      <c r="BI14" s="516"/>
      <c r="BJ14" s="516"/>
      <c r="BK14" s="516"/>
      <c r="BL14" s="516"/>
      <c r="BM14" s="516"/>
      <c r="BN14" s="516"/>
      <c r="BO14" s="517"/>
      <c r="BP14" s="518"/>
    </row>
    <row r="15" spans="1:68" s="553" customFormat="1" ht="109.95" customHeight="1" thickBot="1">
      <c r="A15" s="456">
        <v>4</v>
      </c>
      <c r="B15" s="724" t="str">
        <f>IF(基本情報入力シート!B43="","",基本情報入力シート!B43)</f>
        <v>0811111111</v>
      </c>
      <c r="C15" s="725"/>
      <c r="D15" s="725"/>
      <c r="E15" s="725"/>
      <c r="F15" s="726"/>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IF(基本情報入力シート!AG43="","",基本情報入力シート!AG43)</f>
        <v>10.7</v>
      </c>
      <c r="N15" s="136" t="s">
        <v>367</v>
      </c>
      <c r="O15" s="155">
        <f>IFERROR(VLOOKUP(K15,【参考】数式用!$A$2:$F$57,MATCH(N15,【参考】数式用!$C$3:$F$3,0)+2,0),"")</f>
        <v>0.245</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f>IFERROR(ROUNDDOWN(ROUND(L15*O15,0)*M15,0)*Z15,"")</f>
        <v>4068568</v>
      </c>
      <c r="AC15" s="462">
        <f>IFERROR(ROUNDDOWN(ROUNDDOWN(ROUND(L15*VLOOKUP(K15,【参考】数式用!$A$4:$F$57,MATCH("処遇改善加算Ⅳ",【参考】数式用!$C$3:$F$3,0)+2,0),0)*M15,0)*Z15*0.5,0), "")</f>
        <v>1203964</v>
      </c>
      <c r="AD15" s="156" t="s">
        <v>2596</v>
      </c>
      <c r="AE15" s="157" t="s">
        <v>2596</v>
      </c>
      <c r="AF15" s="157" t="s">
        <v>2596</v>
      </c>
      <c r="AG15" s="158">
        <v>0</v>
      </c>
      <c r="AH15" s="159" t="s">
        <v>569</v>
      </c>
      <c r="AI15" s="161" t="s">
        <v>389</v>
      </c>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入力済</v>
      </c>
      <c r="AQ15" s="550" t="str">
        <f t="shared" ref="AQ15" si="22">IF(AND(N15&lt;&gt;"", AE15="",AN15="加算対象"), "未入力", "入力済")</f>
        <v>入力済</v>
      </c>
      <c r="AR15" s="551" t="str">
        <f t="shared" ref="AR15" si="23">IF(AND(N15&lt;&gt;"", N15&lt;&gt;"処遇改善加算Ⅳ",AN15="加算対象"),"AF列に色付け","")</f>
        <v>AF列に色付け</v>
      </c>
      <c r="AS15" s="550" t="str">
        <f t="shared" ref="AS15" si="24">IF(AND(N15&lt;&gt;"", N15&lt;&gt;"処遇改善加算Ⅳ", AF15=""), "未入力", "入力済")</f>
        <v>入力済</v>
      </c>
      <c r="AT15" s="550" t="str">
        <f t="shared" ref="AT15" si="25">IF(OR(N15="処遇改善加算Ⅰ",N15="処遇改善加算Ⅱ"),"対象","")</f>
        <v>対象</v>
      </c>
      <c r="AU15" s="550">
        <f>IF(AND(AN15="加算対象",N15&lt;&gt;"処遇改善加算Ⅲ",N15&lt;&gt;"処遇改善加算Ⅳ", N15&lt;&gt;"", AT15&lt;&gt;"対象外"), 1,"")</f>
        <v>1</v>
      </c>
      <c r="AV15" s="551" t="str">
        <f t="shared" ref="AV15" si="26">IF(AND(AU15=1, OR(AG15=0,AG15=""),AN15="加算対象"),"AH列に色付け","")</f>
        <v>AH列に色付け</v>
      </c>
      <c r="AW15" s="551" t="str">
        <f t="shared" si="12"/>
        <v>入力済</v>
      </c>
      <c r="AX15" s="550" t="str">
        <f>IFERROR(VLOOKUP(K15,【参考】数式用!$AR$3:$AS$49,2, FALSE), "")</f>
        <v>訪問型サービス_独自_定額_Ⅴ</v>
      </c>
      <c r="AY15" s="551" t="str">
        <f>IF(AND(AN15="加算対象",N15="処遇改善加算Ⅰ"),"AI列に色付け","")</f>
        <v>AI列に色付け</v>
      </c>
      <c r="AZ15" s="551" t="str">
        <f t="shared" ref="AZ15" si="27">IF(AND(N15="処遇改善加算Ⅰ", AI15=""), "未入力","入力済")</f>
        <v>入力済</v>
      </c>
      <c r="BA15" s="550" t="str">
        <f>IFERROR(VLOOKUP(K15,【参考】数式用!$AX$3:$AY$56, 2, FALSE), "")</f>
        <v>訪問型サービス_独自_定額_R8</v>
      </c>
      <c r="BB15" s="551" t="str">
        <f t="shared" si="0"/>
        <v/>
      </c>
      <c r="BC15" s="551" t="str">
        <f t="shared" si="15"/>
        <v>入力済</v>
      </c>
      <c r="BD15" s="551" t="str">
        <f t="shared" si="17"/>
        <v/>
      </c>
      <c r="BE15" s="551" t="str">
        <f t="shared" si="1"/>
        <v>水戸市</v>
      </c>
      <c r="BF15" s="516"/>
      <c r="BG15" s="516"/>
      <c r="BH15" s="516"/>
      <c r="BI15" s="516"/>
      <c r="BJ15" s="516"/>
      <c r="BK15" s="516"/>
      <c r="BL15" s="516"/>
      <c r="BM15" s="516"/>
      <c r="BN15" s="516"/>
      <c r="BO15" s="517"/>
      <c r="BP15" s="518"/>
    </row>
    <row r="16" spans="1:68" s="553" customFormat="1" ht="109.95" customHeight="1" thickBot="1">
      <c r="A16" s="456">
        <v>5</v>
      </c>
      <c r="B16" s="724" t="str">
        <f>IF(基本情報入力シート!B44="","",基本情報入力シート!B44)</f>
        <v>0811111112</v>
      </c>
      <c r="C16" s="725"/>
      <c r="D16" s="725"/>
      <c r="E16" s="725"/>
      <c r="F16" s="726"/>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IF(基本情報入力シート!AG44="","",基本情報入力シート!AG44)</f>
        <v>10.7</v>
      </c>
      <c r="N16" s="136" t="s">
        <v>2593</v>
      </c>
      <c r="O16" s="155">
        <f>IFERROR(VLOOKUP(K16,【参考】数式用!$A$2:$F$57,MATCH(N16,【参考】数式用!$C$3:$F$3,0)+2,0),"")</f>
        <v>0.245</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4068568</v>
      </c>
      <c r="AC16" s="462">
        <f>IFERROR(ROUNDDOWN(ROUNDDOWN(ROUND(L16*VLOOKUP(K16,【参考】数式用!$A$4:$F$57,MATCH("処遇改善加算Ⅳ",【参考】数式用!$C$3:$F$3,0)+2,0),0)*M16,0)*Z16*0.5,0), "")</f>
        <v>1203964</v>
      </c>
      <c r="AD16" s="156" t="s">
        <v>2596</v>
      </c>
      <c r="AE16" s="157" t="s">
        <v>2596</v>
      </c>
      <c r="AF16" s="157" t="s">
        <v>421</v>
      </c>
      <c r="AG16" s="158">
        <v>0</v>
      </c>
      <c r="AH16" s="159" t="s">
        <v>421</v>
      </c>
      <c r="AI16" s="161" t="s">
        <v>403</v>
      </c>
      <c r="AJ16" s="161" t="s">
        <v>2597</v>
      </c>
      <c r="AK16" s="545" t="str">
        <f t="shared" si="2"/>
        <v/>
      </c>
      <c r="AL16" s="546" t="str">
        <f t="shared" si="3"/>
        <v/>
      </c>
      <c r="AM16" s="547"/>
      <c r="AN16" s="551" t="str">
        <f>IFERROR(VLOOKUP(K16,【参考】数式用!$A$2:$N$57,14,FALSE),"")</f>
        <v>加算対象</v>
      </c>
      <c r="AO16" s="551" t="str">
        <f t="shared" si="4"/>
        <v>N列に色付け</v>
      </c>
      <c r="AP16" s="550" t="str">
        <f t="shared" si="5"/>
        <v>入力済</v>
      </c>
      <c r="AQ16" s="550" t="str">
        <f t="shared" si="6"/>
        <v>入力済</v>
      </c>
      <c r="AR16" s="551" t="str">
        <f t="shared" si="7"/>
        <v>AF列に色付け</v>
      </c>
      <c r="AS16" s="550" t="str">
        <f t="shared" si="8"/>
        <v>入力済</v>
      </c>
      <c r="AT16" s="550" t="str">
        <f t="shared" si="9"/>
        <v>対象</v>
      </c>
      <c r="AU16" s="550">
        <f>IF(AND(AN16="加算対象",N16&lt;&gt;"処遇改善加算Ⅲ",N16&lt;&gt;"処遇改善加算Ⅳ", N16&lt;&gt;"", AT16&lt;&gt;"対象外"), 1,"")</f>
        <v>1</v>
      </c>
      <c r="AV16" s="551" t="str">
        <f t="shared" si="11"/>
        <v>AH列に色付け</v>
      </c>
      <c r="AW16" s="551" t="str">
        <f t="shared" si="12"/>
        <v>入力済</v>
      </c>
      <c r="AX16" s="550" t="str">
        <f>IFERROR(VLOOKUP(K16,【参考】数式用!$AR$3:$AS$49,2, FALSE), "")</f>
        <v>夜間対応型訪問介護Ⅴ</v>
      </c>
      <c r="AY16" s="551" t="str">
        <f t="shared" si="13"/>
        <v>AI列に色付け</v>
      </c>
      <c r="AZ16" s="551" t="str">
        <f t="shared" si="14"/>
        <v>入力済</v>
      </c>
      <c r="BA16" s="550" t="str">
        <f>IFERROR(VLOOKUP(K16,【参考】数式用!$AX$3:$AY$56, 2, FALSE), "")</f>
        <v>夜間対応型訪問介護R8</v>
      </c>
      <c r="BB16" s="551" t="str">
        <f t="shared" si="0"/>
        <v>AJ列に色付け</v>
      </c>
      <c r="BC16" s="551" t="str">
        <f t="shared" si="15"/>
        <v>入力済</v>
      </c>
      <c r="BD16" s="551" t="str">
        <f t="shared" si="17"/>
        <v>入力必要</v>
      </c>
      <c r="BE16" s="551" t="str">
        <f t="shared" si="1"/>
        <v>日立市</v>
      </c>
      <c r="BF16" s="516"/>
      <c r="BG16" s="516"/>
      <c r="BH16" s="516"/>
      <c r="BI16" s="516"/>
      <c r="BJ16" s="516"/>
      <c r="BK16" s="516"/>
      <c r="BL16" s="516"/>
      <c r="BM16" s="516"/>
      <c r="BN16" s="516"/>
      <c r="BO16" s="517"/>
      <c r="BP16" s="518"/>
    </row>
    <row r="17" spans="1:57" s="553" customFormat="1" ht="109.95" customHeight="1" thickBot="1">
      <c r="A17" s="456">
        <v>6</v>
      </c>
      <c r="B17" s="724" t="str">
        <f>IF(基本情報入力シート!B45="","",基本情報入力シート!B45)</f>
        <v>0811111113</v>
      </c>
      <c r="C17" s="725"/>
      <c r="D17" s="725"/>
      <c r="E17" s="725"/>
      <c r="F17" s="726"/>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IF(基本情報入力シート!AG45="","",基本情報入力シート!AG45)</f>
        <v>10.42</v>
      </c>
      <c r="N17" s="136" t="s">
        <v>367</v>
      </c>
      <c r="O17" s="155">
        <f>IFERROR(VLOOKUP(K17,【参考】数式用!$A$2:$F$57,MATCH(N17,【参考】数式用!$C$3:$F$3,0)+2,0),"")</f>
        <v>0.245</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3962100</v>
      </c>
      <c r="AC17" s="462">
        <f>IFERROR(ROUNDDOWN(ROUNDDOWN(ROUND(L17*VLOOKUP(K17,【参考】数式用!$A$4:$F$57,MATCH("処遇改善加算Ⅳ",【参考】数式用!$C$3:$F$3,0)+2,0),0)*M17,0)*Z17*0.5,0), "")</f>
        <v>1172458</v>
      </c>
      <c r="AD17" s="156" t="s">
        <v>2596</v>
      </c>
      <c r="AE17" s="157" t="s">
        <v>2596</v>
      </c>
      <c r="AF17" s="157" t="s">
        <v>421</v>
      </c>
      <c r="AG17" s="158">
        <v>0</v>
      </c>
      <c r="AH17" s="159" t="s">
        <v>421</v>
      </c>
      <c r="AI17" s="161" t="s">
        <v>403</v>
      </c>
      <c r="AJ17" s="161" t="s">
        <v>2597</v>
      </c>
      <c r="AK17" s="545" t="str">
        <f t="shared" si="2"/>
        <v/>
      </c>
      <c r="AL17" s="546" t="str">
        <f t="shared" si="3"/>
        <v/>
      </c>
      <c r="AM17" s="547"/>
      <c r="AN17" s="551" t="str">
        <f>IFERROR(VLOOKUP(K17,【参考】数式用!$A$2:$N$57,14,FALSE),"")</f>
        <v>加算対象</v>
      </c>
      <c r="AO17" s="551" t="str">
        <f t="shared" si="4"/>
        <v>N列に色付け</v>
      </c>
      <c r="AP17" s="550" t="str">
        <f t="shared" si="5"/>
        <v>入力済</v>
      </c>
      <c r="AQ17" s="550" t="str">
        <f t="shared" si="6"/>
        <v>入力済</v>
      </c>
      <c r="AR17" s="551" t="str">
        <f t="shared" si="7"/>
        <v>AF列に色付け</v>
      </c>
      <c r="AS17" s="550" t="str">
        <f t="shared" si="8"/>
        <v>入力済</v>
      </c>
      <c r="AT17" s="550" t="str">
        <f t="shared" si="9"/>
        <v>対象</v>
      </c>
      <c r="AU17" s="550">
        <f t="shared" ref="AU17:AU77" si="29">IF(AND(AN17="加算対象",N17&lt;&gt;"処遇改善加算Ⅲ",N17&lt;&gt;"処遇改善加算Ⅳ", N17&lt;&gt;"", AT17&lt;&gt;"対象外"), 1,"")</f>
        <v>1</v>
      </c>
      <c r="AV17" s="551" t="str">
        <f t="shared" si="11"/>
        <v>AH列に色付け</v>
      </c>
      <c r="AW17" s="551" t="str">
        <f t="shared" si="12"/>
        <v>入力済</v>
      </c>
      <c r="AX17" s="550" t="str">
        <f>IFERROR(VLOOKUP(K17,【参考】数式用!$AR$3:$AS$49,2, FALSE), "")</f>
        <v>定期巡回・随時対応型訪問介護看護Ⅴ</v>
      </c>
      <c r="AY17" s="551" t="str">
        <f t="shared" si="13"/>
        <v>AI列に色付け</v>
      </c>
      <c r="AZ17" s="551" t="str">
        <f t="shared" si="14"/>
        <v>入力済</v>
      </c>
      <c r="BA17" s="550" t="str">
        <f>IFERROR(VLOOKUP(K17,【参考】数式用!$AX$3:$AY$56, 2, FALSE), "")</f>
        <v>定期巡回・随時対応型訪問介護看護R8</v>
      </c>
      <c r="BB17" s="551" t="str">
        <f t="shared" si="0"/>
        <v>AJ列に色付け</v>
      </c>
      <c r="BC17" s="551" t="str">
        <f t="shared" si="15"/>
        <v>入力済</v>
      </c>
      <c r="BD17" s="551" t="str">
        <f t="shared" si="17"/>
        <v>入力必要</v>
      </c>
      <c r="BE17" s="551" t="str">
        <f t="shared" si="1"/>
        <v>土浦市</v>
      </c>
    </row>
    <row r="18" spans="1:57" s="553" customFormat="1" ht="109.95" customHeight="1" thickBot="1">
      <c r="A18" s="456">
        <v>7</v>
      </c>
      <c r="B18" s="724" t="str">
        <f>IF(基本情報入力シート!B46="","",基本情報入力シート!B46)</f>
        <v>0811111114</v>
      </c>
      <c r="C18" s="725"/>
      <c r="D18" s="725"/>
      <c r="E18" s="725"/>
      <c r="F18" s="726"/>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IF(基本情報入力シート!AG46="","",基本情報入力シート!AG46)</f>
        <v>10.42</v>
      </c>
      <c r="N18" s="136" t="s">
        <v>367</v>
      </c>
      <c r="O18" s="155">
        <f>IFERROR(VLOOKUP(K18,【参考】数式用!$A$2:$F$57,MATCH(N18,【参考】数式用!$C$3:$F$3,0)+2,0),"")</f>
        <v>9.9999999999999992E-2</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1888104</v>
      </c>
      <c r="AC18" s="462">
        <f>IFERROR(ROUNDDOWN(ROUNDDOWN(ROUND(L18*VLOOKUP(K18,【参考】数式用!$A$4:$F$57,MATCH("処遇改善加算Ⅳ",【参考】数式用!$C$3:$F$3,0)+2,0),0)*M18,0)*Z18*0.5,0), "")</f>
        <v>594752</v>
      </c>
      <c r="AD18" s="156" t="s">
        <v>2596</v>
      </c>
      <c r="AE18" s="157" t="s">
        <v>2596</v>
      </c>
      <c r="AF18" s="157" t="s">
        <v>430</v>
      </c>
      <c r="AG18" s="158">
        <v>0</v>
      </c>
      <c r="AH18" s="159" t="s">
        <v>430</v>
      </c>
      <c r="AI18" s="161" t="s">
        <v>403</v>
      </c>
      <c r="AJ18" s="161" t="s">
        <v>405</v>
      </c>
      <c r="AK18" s="545" t="str">
        <f t="shared" si="2"/>
        <v/>
      </c>
      <c r="AL18" s="546" t="str">
        <f t="shared" si="3"/>
        <v/>
      </c>
      <c r="AM18" s="547"/>
      <c r="AN18" s="551" t="str">
        <f>IFERROR(VLOOKUP(K18,【参考】数式用!$A$2:$N$57,14,FALSE),"")</f>
        <v>加算対象</v>
      </c>
      <c r="AO18" s="551" t="str">
        <f t="shared" si="4"/>
        <v>N列に色付け</v>
      </c>
      <c r="AP18" s="550" t="str">
        <f t="shared" si="5"/>
        <v>入力済</v>
      </c>
      <c r="AQ18" s="550" t="str">
        <f t="shared" si="6"/>
        <v>入力済</v>
      </c>
      <c r="AR18" s="551" t="str">
        <f t="shared" si="7"/>
        <v>AF列に色付け</v>
      </c>
      <c r="AS18" s="550" t="str">
        <f t="shared" si="8"/>
        <v>入力済</v>
      </c>
      <c r="AT18" s="550" t="str">
        <f t="shared" si="9"/>
        <v>対象</v>
      </c>
      <c r="AU18" s="550">
        <f t="shared" si="29"/>
        <v>1</v>
      </c>
      <c r="AV18" s="551" t="str">
        <f t="shared" si="11"/>
        <v>AH列に色付け</v>
      </c>
      <c r="AW18" s="551" t="str">
        <f t="shared" si="12"/>
        <v>入力済</v>
      </c>
      <c r="AX18" s="550" t="str">
        <f>IFERROR(VLOOKUP(K18,【参考】数式用!$AR$3:$AS$49,2, FALSE), "")</f>
        <v>訪問入浴介護Ⅴ</v>
      </c>
      <c r="AY18" s="551" t="str">
        <f t="shared" si="13"/>
        <v>AI列に色付け</v>
      </c>
      <c r="AZ18" s="551" t="str">
        <f t="shared" si="14"/>
        <v>入力済</v>
      </c>
      <c r="BA18" s="550" t="str">
        <f>IFERROR(VLOOKUP(K18,【参考】数式用!$AX$3:$AY$56, 2, FALSE), "")</f>
        <v>訪問入浴介護R8</v>
      </c>
      <c r="BB18" s="551" t="str">
        <f t="shared" si="0"/>
        <v>AJ列に色付け</v>
      </c>
      <c r="BC18" s="551" t="str">
        <f t="shared" si="15"/>
        <v>入力済</v>
      </c>
      <c r="BD18" s="551" t="str">
        <f t="shared" si="17"/>
        <v>入力必要</v>
      </c>
      <c r="BE18" s="551" t="str">
        <f t="shared" si="1"/>
        <v>茨城県</v>
      </c>
    </row>
    <row r="19" spans="1:57" s="553" customFormat="1" ht="109.95" customHeight="1" thickBot="1">
      <c r="A19" s="456">
        <v>8</v>
      </c>
      <c r="B19" s="724" t="str">
        <f>IF(基本情報入力シート!B47="","",基本情報入力シート!B47)</f>
        <v>0811111114</v>
      </c>
      <c r="C19" s="725"/>
      <c r="D19" s="725"/>
      <c r="E19" s="725"/>
      <c r="F19" s="726"/>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IF(基本情報入力シート!AG47="","",基本情報入力シート!AG47)</f>
        <v>10.42</v>
      </c>
      <c r="N19" s="136" t="s">
        <v>367</v>
      </c>
      <c r="O19" s="155">
        <f>IFERROR(VLOOKUP(K19,【参考】数式用!$A$2:$F$57,MATCH(N19,【参考】数式用!$C$3:$F$3,0)+2,0),"")</f>
        <v>9.9999999999999992E-2</v>
      </c>
      <c r="P19" s="458" t="s">
        <v>180</v>
      </c>
      <c r="Q19" s="141">
        <v>8</v>
      </c>
      <c r="R19" s="459" t="s">
        <v>271</v>
      </c>
      <c r="S19" s="141">
        <v>4</v>
      </c>
      <c r="T19" s="459" t="s">
        <v>272</v>
      </c>
      <c r="U19" s="141">
        <v>8</v>
      </c>
      <c r="V19" s="459" t="s">
        <v>271</v>
      </c>
      <c r="W19" s="141">
        <v>5</v>
      </c>
      <c r="X19" s="459" t="s">
        <v>273</v>
      </c>
      <c r="Y19" s="459" t="s">
        <v>274</v>
      </c>
      <c r="Z19" s="459">
        <f t="shared" si="16"/>
        <v>2</v>
      </c>
      <c r="AA19" s="460" t="s">
        <v>275</v>
      </c>
      <c r="AB19" s="461">
        <f t="shared" si="28"/>
        <v>1888104</v>
      </c>
      <c r="AC19" s="462">
        <f>IFERROR(ROUNDDOWN(ROUNDDOWN(ROUND(L19*VLOOKUP(K19,【参考】数式用!$A$4:$F$57,MATCH("処遇改善加算Ⅳ",【参考】数式用!$C$3:$F$3,0)+2,0),0)*M19,0)*Z19*0.5,0), "")</f>
        <v>594752</v>
      </c>
      <c r="AD19" s="156" t="s">
        <v>2596</v>
      </c>
      <c r="AE19" s="157" t="s">
        <v>2596</v>
      </c>
      <c r="AF19" s="157" t="s">
        <v>430</v>
      </c>
      <c r="AG19" s="158">
        <v>0</v>
      </c>
      <c r="AH19" s="159" t="s">
        <v>430</v>
      </c>
      <c r="AI19" s="161" t="s">
        <v>403</v>
      </c>
      <c r="AJ19" s="161" t="s">
        <v>405</v>
      </c>
      <c r="AK19" s="545" t="str">
        <f t="shared" si="2"/>
        <v/>
      </c>
      <c r="AL19" s="546" t="str">
        <f t="shared" si="3"/>
        <v/>
      </c>
      <c r="AM19" s="547"/>
      <c r="AN19" s="551" t="str">
        <f>IFERROR(VLOOKUP(K19,【参考】数式用!$A$2:$N$57,14,FALSE),"")</f>
        <v>加算対象</v>
      </c>
      <c r="AO19" s="551" t="str">
        <f t="shared" si="4"/>
        <v>N列に色付け</v>
      </c>
      <c r="AP19" s="550" t="str">
        <f t="shared" si="5"/>
        <v>入力済</v>
      </c>
      <c r="AQ19" s="550" t="str">
        <f t="shared" si="6"/>
        <v>入力済</v>
      </c>
      <c r="AR19" s="551" t="str">
        <f t="shared" si="7"/>
        <v>AF列に色付け</v>
      </c>
      <c r="AS19" s="550" t="str">
        <f t="shared" si="8"/>
        <v>入力済</v>
      </c>
      <c r="AT19" s="550" t="str">
        <f t="shared" si="9"/>
        <v>対象</v>
      </c>
      <c r="AU19" s="550">
        <f t="shared" si="29"/>
        <v>1</v>
      </c>
      <c r="AV19" s="551" t="str">
        <f t="shared" si="11"/>
        <v>AH列に色付け</v>
      </c>
      <c r="AW19" s="551" t="str">
        <f t="shared" si="12"/>
        <v>入力済</v>
      </c>
      <c r="AX19" s="550" t="str">
        <f>IFERROR(VLOOKUP(K19,【参考】数式用!$AR$3:$AS$49,2, FALSE), "")</f>
        <v>介護予防訪問入浴介護Ⅴ</v>
      </c>
      <c r="AY19" s="551" t="str">
        <f t="shared" si="13"/>
        <v>AI列に色付け</v>
      </c>
      <c r="AZ19" s="551" t="str">
        <f t="shared" si="14"/>
        <v>入力済</v>
      </c>
      <c r="BA19" s="550" t="str">
        <f>IFERROR(VLOOKUP(K19,【参考】数式用!$AX$3:$AY$56, 2, FALSE), "")</f>
        <v>介護予防訪問入浴介護R8</v>
      </c>
      <c r="BB19" s="551" t="str">
        <f t="shared" si="0"/>
        <v>AJ列に色付け</v>
      </c>
      <c r="BC19" s="551" t="str">
        <f t="shared" si="15"/>
        <v>入力済</v>
      </c>
      <c r="BD19" s="551" t="str">
        <f t="shared" si="17"/>
        <v>入力必要</v>
      </c>
      <c r="BE19" s="551" t="str">
        <f t="shared" si="1"/>
        <v>茨城県</v>
      </c>
    </row>
    <row r="20" spans="1:57" s="553" customFormat="1" ht="109.95" customHeight="1" thickBot="1">
      <c r="A20" s="456">
        <v>9</v>
      </c>
      <c r="B20" s="724" t="str">
        <f>IF(基本情報入力シート!B48="","",基本情報入力シート!B48)</f>
        <v>0811111115</v>
      </c>
      <c r="C20" s="725"/>
      <c r="D20" s="725"/>
      <c r="E20" s="725"/>
      <c r="F20" s="726"/>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IF(基本情報入力シート!AG48="","",基本情報入力シート!AG48)</f>
        <v>10</v>
      </c>
      <c r="N20" s="136" t="s">
        <v>367</v>
      </c>
      <c r="O20" s="155">
        <f>IFERROR(VLOOKUP(K20,【参考】数式用!$A$2:$F$57,MATCH(N20,【参考】数式用!$C$3:$F$3,0)+2,0),"")</f>
        <v>9.1999999999999985E-2</v>
      </c>
      <c r="P20" s="458" t="s">
        <v>180</v>
      </c>
      <c r="Q20" s="141">
        <v>8</v>
      </c>
      <c r="R20" s="459" t="s">
        <v>271</v>
      </c>
      <c r="S20" s="141">
        <v>4</v>
      </c>
      <c r="T20" s="459" t="s">
        <v>272</v>
      </c>
      <c r="U20" s="141">
        <v>8</v>
      </c>
      <c r="V20" s="459" t="s">
        <v>271</v>
      </c>
      <c r="W20" s="141">
        <v>5</v>
      </c>
      <c r="X20" s="459" t="s">
        <v>273</v>
      </c>
      <c r="Y20" s="459" t="s">
        <v>274</v>
      </c>
      <c r="Z20" s="459">
        <f t="shared" si="16"/>
        <v>2</v>
      </c>
      <c r="AA20" s="460" t="s">
        <v>275</v>
      </c>
      <c r="AB20" s="461">
        <f t="shared" si="28"/>
        <v>1674400</v>
      </c>
      <c r="AC20" s="462">
        <f>IFERROR(ROUNDDOWN(ROUNDDOWN(ROUND(L20*VLOOKUP(K20,【参考】数式用!$A$4:$F$57,MATCH("処遇改善加算Ⅳ",【参考】数式用!$C$3:$F$3,0)+2,0),0)*M20,0)*Z20*0.5,0), "")</f>
        <v>582400</v>
      </c>
      <c r="AD20" s="156" t="s">
        <v>2596</v>
      </c>
      <c r="AE20" s="157" t="s">
        <v>421</v>
      </c>
      <c r="AF20" s="157" t="s">
        <v>421</v>
      </c>
      <c r="AG20" s="158">
        <v>1</v>
      </c>
      <c r="AH20" s="159"/>
      <c r="AI20" s="161" t="s">
        <v>402</v>
      </c>
      <c r="AJ20" s="161" t="s">
        <v>2597</v>
      </c>
      <c r="AK20" s="545" t="str">
        <f t="shared" si="2"/>
        <v/>
      </c>
      <c r="AL20" s="546" t="str">
        <f t="shared" si="3"/>
        <v/>
      </c>
      <c r="AM20" s="547"/>
      <c r="AN20" s="551" t="str">
        <f>IFERROR(VLOOKUP(K20,【参考】数式用!$A$2:$N$57,14,FALSE),"")</f>
        <v>加算対象</v>
      </c>
      <c r="AO20" s="551" t="str">
        <f t="shared" si="4"/>
        <v>N列に色付け</v>
      </c>
      <c r="AP20" s="550" t="str">
        <f t="shared" si="5"/>
        <v>入力済</v>
      </c>
      <c r="AQ20" s="550" t="str">
        <f t="shared" si="6"/>
        <v>入力済</v>
      </c>
      <c r="AR20" s="551" t="str">
        <f t="shared" si="7"/>
        <v>AF列に色付け</v>
      </c>
      <c r="AS20" s="550" t="str">
        <f t="shared" si="8"/>
        <v>入力済</v>
      </c>
      <c r="AT20" s="550" t="str">
        <f t="shared" si="9"/>
        <v>対象</v>
      </c>
      <c r="AU20" s="550">
        <f t="shared" si="29"/>
        <v>1</v>
      </c>
      <c r="AV20" s="551" t="str">
        <f t="shared" si="11"/>
        <v/>
      </c>
      <c r="AW20" s="551" t="str">
        <f t="shared" si="12"/>
        <v>入力済</v>
      </c>
      <c r="AX20" s="550" t="str">
        <f>IFERROR(VLOOKUP(K20,【参考】数式用!$AR$3:$AS$49,2, FALSE), "")</f>
        <v>通所介護Ⅴ</v>
      </c>
      <c r="AY20" s="551" t="str">
        <f t="shared" si="13"/>
        <v>AI列に色付け</v>
      </c>
      <c r="AZ20" s="551" t="str">
        <f t="shared" si="14"/>
        <v>入力済</v>
      </c>
      <c r="BA20" s="550" t="str">
        <f>IFERROR(VLOOKUP(K20,【参考】数式用!$AX$3:$AY$56, 2, FALSE), "")</f>
        <v>通所介護R8</v>
      </c>
      <c r="BB20" s="551" t="str">
        <f t="shared" si="0"/>
        <v>AJ列に色付け</v>
      </c>
      <c r="BC20" s="551" t="str">
        <f t="shared" si="15"/>
        <v>入力済</v>
      </c>
      <c r="BD20" s="551" t="str">
        <f t="shared" si="17"/>
        <v>入力必要</v>
      </c>
      <c r="BE20" s="551" t="str">
        <f t="shared" si="1"/>
        <v>茨城県</v>
      </c>
    </row>
    <row r="21" spans="1:57" s="553" customFormat="1" ht="109.95" customHeight="1" thickBot="1">
      <c r="A21" s="456">
        <v>10</v>
      </c>
      <c r="B21" s="724" t="str">
        <f>IF(基本情報入力シート!B49="","",基本情報入力シート!B49)</f>
        <v>0811111115</v>
      </c>
      <c r="C21" s="725"/>
      <c r="D21" s="725"/>
      <c r="E21" s="725"/>
      <c r="F21" s="726"/>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IF(基本情報入力シート!AG49="","",基本情報入力シート!AG49)</f>
        <v>10</v>
      </c>
      <c r="N21" s="136" t="s">
        <v>367</v>
      </c>
      <c r="O21" s="155">
        <f>IFERROR(VLOOKUP(K21,【参考】数式用!$A$2:$F$57,MATCH(N21,【参考】数式用!$C$3:$F$3,0)+2,0),"")</f>
        <v>9.1999999999999985E-2</v>
      </c>
      <c r="P21" s="458" t="s">
        <v>180</v>
      </c>
      <c r="Q21" s="141">
        <v>8</v>
      </c>
      <c r="R21" s="459" t="s">
        <v>271</v>
      </c>
      <c r="S21" s="141">
        <v>4</v>
      </c>
      <c r="T21" s="459" t="s">
        <v>272</v>
      </c>
      <c r="U21" s="141">
        <v>8</v>
      </c>
      <c r="V21" s="459" t="s">
        <v>271</v>
      </c>
      <c r="W21" s="141">
        <v>5</v>
      </c>
      <c r="X21" s="459" t="s">
        <v>182</v>
      </c>
      <c r="Y21" s="459" t="s">
        <v>274</v>
      </c>
      <c r="Z21" s="459">
        <f t="shared" si="16"/>
        <v>2</v>
      </c>
      <c r="AA21" s="460" t="s">
        <v>275</v>
      </c>
      <c r="AB21" s="461">
        <f t="shared" si="28"/>
        <v>1674400</v>
      </c>
      <c r="AC21" s="462">
        <f>IFERROR(ROUNDDOWN(ROUNDDOWN(ROUND(L21*VLOOKUP(K21,【参考】数式用!$A$4:$F$57,MATCH("処遇改善加算Ⅳ",【参考】数式用!$C$3:$F$3,0)+2,0),0)*M21,0)*Z21*0.5,0), "")</f>
        <v>582400</v>
      </c>
      <c r="AD21" s="156" t="s">
        <v>2596</v>
      </c>
      <c r="AE21" s="157" t="s">
        <v>421</v>
      </c>
      <c r="AF21" s="157" t="s">
        <v>421</v>
      </c>
      <c r="AG21" s="158">
        <v>1</v>
      </c>
      <c r="AH21" s="159"/>
      <c r="AI21" s="161" t="s">
        <v>402</v>
      </c>
      <c r="AJ21" s="161" t="s">
        <v>2597</v>
      </c>
      <c r="AK21" s="545" t="str">
        <f t="shared" si="2"/>
        <v/>
      </c>
      <c r="AL21" s="546" t="str">
        <f t="shared" si="3"/>
        <v/>
      </c>
      <c r="AM21" s="547"/>
      <c r="AN21" s="551" t="str">
        <f>IFERROR(VLOOKUP(K21,【参考】数式用!$A$2:$N$57,14,FALSE),"")</f>
        <v>加算対象</v>
      </c>
      <c r="AO21" s="551" t="str">
        <f t="shared" si="4"/>
        <v>N列に色付け</v>
      </c>
      <c r="AP21" s="550" t="str">
        <f t="shared" si="5"/>
        <v>入力済</v>
      </c>
      <c r="AQ21" s="550" t="str">
        <f t="shared" si="6"/>
        <v>入力済</v>
      </c>
      <c r="AR21" s="551" t="str">
        <f t="shared" si="7"/>
        <v>AF列に色付け</v>
      </c>
      <c r="AS21" s="550" t="str">
        <f t="shared" si="8"/>
        <v>入力済</v>
      </c>
      <c r="AT21" s="550" t="str">
        <f t="shared" si="9"/>
        <v>対象</v>
      </c>
      <c r="AU21" s="550">
        <f t="shared" si="29"/>
        <v>1</v>
      </c>
      <c r="AV21" s="551" t="str">
        <f t="shared" si="11"/>
        <v/>
      </c>
      <c r="AW21" s="551" t="str">
        <f t="shared" si="12"/>
        <v>入力済</v>
      </c>
      <c r="AX21" s="550" t="str">
        <f>IFERROR(VLOOKUP(K21,【参考】数式用!$AR$3:$AS$49,2, FALSE), "")</f>
        <v>通所型サービス_独自_19人以上_Ⅴ</v>
      </c>
      <c r="AY21" s="551" t="str">
        <f t="shared" si="13"/>
        <v>AI列に色付け</v>
      </c>
      <c r="AZ21" s="551" t="str">
        <f t="shared" si="14"/>
        <v>入力済</v>
      </c>
      <c r="BA21" s="550" t="str">
        <f>IFERROR(VLOOKUP(K21,【参考】数式用!$AX$3:$AY$56, 2, FALSE), "")</f>
        <v>通所型サービス_独自__19人以上_R8</v>
      </c>
      <c r="BB21" s="551" t="str">
        <f t="shared" si="0"/>
        <v>AJ列に色付け</v>
      </c>
      <c r="BC21" s="551" t="str">
        <f t="shared" si="15"/>
        <v>入力済</v>
      </c>
      <c r="BD21" s="551" t="str">
        <f t="shared" si="17"/>
        <v>入力必要</v>
      </c>
      <c r="BE21" s="551" t="str">
        <f t="shared" si="1"/>
        <v>石岡市</v>
      </c>
    </row>
    <row r="22" spans="1:57" s="553" customFormat="1" ht="109.95" customHeight="1" thickBot="1">
      <c r="A22" s="456">
        <v>11</v>
      </c>
      <c r="B22" s="724" t="str">
        <f>IF(基本情報入力シート!B50="","",基本情報入力シート!B50)</f>
        <v>0811111115</v>
      </c>
      <c r="C22" s="725"/>
      <c r="D22" s="725"/>
      <c r="E22" s="725"/>
      <c r="F22" s="726"/>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IF(基本情報入力シート!AG50="","",基本情報入力シート!AG50)</f>
        <v>10</v>
      </c>
      <c r="N22" s="136" t="s">
        <v>367</v>
      </c>
      <c r="O22" s="155">
        <f>IFERROR(VLOOKUP(K22,【参考】数式用!$A$2:$F$57,MATCH(N22,【参考】数式用!$C$3:$F$3,0)+2,0),"")</f>
        <v>9.1999999999999985E-2</v>
      </c>
      <c r="P22" s="458" t="s">
        <v>180</v>
      </c>
      <c r="Q22" s="141">
        <v>8</v>
      </c>
      <c r="R22" s="459" t="s">
        <v>271</v>
      </c>
      <c r="S22" s="141">
        <v>4</v>
      </c>
      <c r="T22" s="459" t="s">
        <v>272</v>
      </c>
      <c r="U22" s="141">
        <v>8</v>
      </c>
      <c r="V22" s="459" t="s">
        <v>271</v>
      </c>
      <c r="W22" s="141">
        <v>5</v>
      </c>
      <c r="X22" s="459" t="s">
        <v>273</v>
      </c>
      <c r="Y22" s="459" t="s">
        <v>274</v>
      </c>
      <c r="Z22" s="459">
        <f t="shared" si="16"/>
        <v>2</v>
      </c>
      <c r="AA22" s="460" t="s">
        <v>275</v>
      </c>
      <c r="AB22" s="461">
        <f t="shared" si="28"/>
        <v>1674400</v>
      </c>
      <c r="AC22" s="462">
        <f>IFERROR(ROUNDDOWN(ROUNDDOWN(ROUND(L22*VLOOKUP(K22,【参考】数式用!$A$4:$F$57,MATCH("処遇改善加算Ⅳ",【参考】数式用!$C$3:$F$3,0)+2,0),0)*M22,0)*Z22*0.5,0), "")</f>
        <v>582400</v>
      </c>
      <c r="AD22" s="156" t="s">
        <v>2596</v>
      </c>
      <c r="AE22" s="157" t="s">
        <v>421</v>
      </c>
      <c r="AF22" s="157" t="s">
        <v>421</v>
      </c>
      <c r="AG22" s="158">
        <v>1</v>
      </c>
      <c r="AH22" s="159"/>
      <c r="AI22" s="161" t="s">
        <v>402</v>
      </c>
      <c r="AJ22" s="161" t="s">
        <v>2597</v>
      </c>
      <c r="AK22" s="545" t="str">
        <f t="shared" si="2"/>
        <v/>
      </c>
      <c r="AL22" s="546" t="str">
        <f t="shared" si="3"/>
        <v/>
      </c>
      <c r="AM22" s="547"/>
      <c r="AN22" s="551" t="str">
        <f>IFERROR(VLOOKUP(K22,【参考】数式用!$A$2:$N$57,14,FALSE),"")</f>
        <v>加算対象</v>
      </c>
      <c r="AO22" s="551" t="str">
        <f t="shared" si="4"/>
        <v>N列に色付け</v>
      </c>
      <c r="AP22" s="550" t="str">
        <f t="shared" si="5"/>
        <v>入力済</v>
      </c>
      <c r="AQ22" s="550" t="str">
        <f t="shared" si="6"/>
        <v>入力済</v>
      </c>
      <c r="AR22" s="551" t="str">
        <f t="shared" si="7"/>
        <v>AF列に色付け</v>
      </c>
      <c r="AS22" s="550" t="str">
        <f t="shared" si="8"/>
        <v>入力済</v>
      </c>
      <c r="AT22" s="550" t="str">
        <f t="shared" si="9"/>
        <v>対象</v>
      </c>
      <c r="AU22" s="550">
        <f t="shared" si="29"/>
        <v>1</v>
      </c>
      <c r="AV22" s="551" t="str">
        <f t="shared" si="11"/>
        <v/>
      </c>
      <c r="AW22" s="551" t="str">
        <f t="shared" si="12"/>
        <v>入力済</v>
      </c>
      <c r="AX22" s="550" t="str">
        <f>IFERROR(VLOOKUP(K22,【参考】数式用!$AR$3:$AS$49,2, FALSE), "")</f>
        <v>通所型サービス_独自_定率_19人以上_Ⅴ</v>
      </c>
      <c r="AY22" s="551" t="str">
        <f t="shared" si="13"/>
        <v>AI列に色付け</v>
      </c>
      <c r="AZ22" s="551" t="str">
        <f t="shared" si="14"/>
        <v>入力済</v>
      </c>
      <c r="BA22" s="550" t="str">
        <f>IFERROR(VLOOKUP(K22,【参考】数式用!$AX$3:$AY$56, 2, FALSE), "")</f>
        <v>通所型サービス_独自_定率__19人以上_R8</v>
      </c>
      <c r="BB22" s="551" t="str">
        <f t="shared" si="0"/>
        <v>AJ列に色付け</v>
      </c>
      <c r="BC22" s="551" t="str">
        <f t="shared" si="15"/>
        <v>入力済</v>
      </c>
      <c r="BD22" s="551" t="str">
        <f t="shared" si="17"/>
        <v>入力必要</v>
      </c>
      <c r="BE22" s="551" t="str">
        <f t="shared" si="1"/>
        <v>石岡市</v>
      </c>
    </row>
    <row r="23" spans="1:57" s="553" customFormat="1" ht="109.95" customHeight="1" thickBot="1">
      <c r="A23" s="456">
        <v>12</v>
      </c>
      <c r="B23" s="724" t="str">
        <f>IF(基本情報入力シート!B51="","",基本情報入力シート!B51)</f>
        <v>0811111115</v>
      </c>
      <c r="C23" s="725"/>
      <c r="D23" s="725"/>
      <c r="E23" s="725"/>
      <c r="F23" s="726"/>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IF(基本情報入力シート!AG51="","",基本情報入力シート!AG51)</f>
        <v>10</v>
      </c>
      <c r="N23" s="136" t="s">
        <v>367</v>
      </c>
      <c r="O23" s="155">
        <f>IFERROR(VLOOKUP(K23,【参考】数式用!$A$2:$F$57,MATCH(N23,【参考】数式用!$C$3:$F$3,0)+2,0),"")</f>
        <v>9.1999999999999985E-2</v>
      </c>
      <c r="P23" s="458" t="s">
        <v>180</v>
      </c>
      <c r="Q23" s="141">
        <v>8</v>
      </c>
      <c r="R23" s="459" t="s">
        <v>271</v>
      </c>
      <c r="S23" s="141">
        <v>4</v>
      </c>
      <c r="T23" s="459" t="s">
        <v>272</v>
      </c>
      <c r="U23" s="141">
        <v>8</v>
      </c>
      <c r="V23" s="459" t="s">
        <v>271</v>
      </c>
      <c r="W23" s="141">
        <v>5</v>
      </c>
      <c r="X23" s="459" t="s">
        <v>273</v>
      </c>
      <c r="Y23" s="459" t="s">
        <v>274</v>
      </c>
      <c r="Z23" s="459">
        <f t="shared" si="16"/>
        <v>2</v>
      </c>
      <c r="AA23" s="460" t="s">
        <v>275</v>
      </c>
      <c r="AB23" s="461">
        <f t="shared" si="28"/>
        <v>1674400</v>
      </c>
      <c r="AC23" s="462">
        <f>IFERROR(ROUNDDOWN(ROUNDDOWN(ROUND(L23*VLOOKUP(K23,【参考】数式用!$A$4:$F$57,MATCH("処遇改善加算Ⅳ",【参考】数式用!$C$3:$F$3,0)+2,0),0)*M23,0)*Z23*0.5,0), "")</f>
        <v>582400</v>
      </c>
      <c r="AD23" s="156" t="s">
        <v>2596</v>
      </c>
      <c r="AE23" s="157" t="s">
        <v>421</v>
      </c>
      <c r="AF23" s="157" t="s">
        <v>421</v>
      </c>
      <c r="AG23" s="158">
        <v>1</v>
      </c>
      <c r="AH23" s="159"/>
      <c r="AI23" s="161" t="s">
        <v>402</v>
      </c>
      <c r="AJ23" s="161" t="s">
        <v>2597</v>
      </c>
      <c r="AK23" s="545" t="str">
        <f t="shared" si="2"/>
        <v/>
      </c>
      <c r="AL23" s="546" t="str">
        <f t="shared" si="3"/>
        <v/>
      </c>
      <c r="AM23" s="547"/>
      <c r="AN23" s="551" t="str">
        <f>IFERROR(VLOOKUP(K23,【参考】数式用!$A$2:$N$57,14,FALSE),"")</f>
        <v>加算対象</v>
      </c>
      <c r="AO23" s="551" t="str">
        <f t="shared" si="4"/>
        <v>N列に色付け</v>
      </c>
      <c r="AP23" s="550" t="str">
        <f t="shared" si="5"/>
        <v>入力済</v>
      </c>
      <c r="AQ23" s="550" t="str">
        <f t="shared" si="6"/>
        <v>入力済</v>
      </c>
      <c r="AR23" s="551" t="str">
        <f t="shared" si="7"/>
        <v>AF列に色付け</v>
      </c>
      <c r="AS23" s="550" t="str">
        <f t="shared" si="8"/>
        <v>入力済</v>
      </c>
      <c r="AT23" s="550" t="str">
        <f t="shared" si="9"/>
        <v>対象</v>
      </c>
      <c r="AU23" s="550">
        <f t="shared" si="29"/>
        <v>1</v>
      </c>
      <c r="AV23" s="551" t="str">
        <f t="shared" si="11"/>
        <v/>
      </c>
      <c r="AW23" s="551" t="str">
        <f t="shared" si="12"/>
        <v>入力済</v>
      </c>
      <c r="AX23" s="550" t="str">
        <f>IFERROR(VLOOKUP(K23,【参考】数式用!$AR$3:$AS$49,2, FALSE), "")</f>
        <v>通所型サービス_独自_定額_19人以上_Ⅴ</v>
      </c>
      <c r="AY23" s="551" t="str">
        <f t="shared" si="13"/>
        <v>AI列に色付け</v>
      </c>
      <c r="AZ23" s="551" t="str">
        <f t="shared" si="14"/>
        <v>入力済</v>
      </c>
      <c r="BA23" s="550" t="str">
        <f>IFERROR(VLOOKUP(K23,【参考】数式用!$AX$3:$AY$56, 2, FALSE), "")</f>
        <v>通所型サービス_独自_定額__19人以上_R8</v>
      </c>
      <c r="BB23" s="551" t="str">
        <f t="shared" si="0"/>
        <v>AJ列に色付け</v>
      </c>
      <c r="BC23" s="551" t="str">
        <f t="shared" si="15"/>
        <v>入力済</v>
      </c>
      <c r="BD23" s="551" t="str">
        <f t="shared" si="17"/>
        <v>入力必要</v>
      </c>
      <c r="BE23" s="551" t="str">
        <f t="shared" si="1"/>
        <v>石岡市</v>
      </c>
    </row>
    <row r="24" spans="1:57" s="553" customFormat="1" ht="109.95" customHeight="1" thickBot="1">
      <c r="A24" s="456">
        <v>13</v>
      </c>
      <c r="B24" s="724" t="str">
        <f>IF(基本情報入力シート!B52="","",基本情報入力シート!B52)</f>
        <v>0811111116</v>
      </c>
      <c r="C24" s="725"/>
      <c r="D24" s="725"/>
      <c r="E24" s="725"/>
      <c r="F24" s="726"/>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IF(基本情報入力シート!AG52="","",基本情報入力シート!AG52)</f>
        <v>10.14</v>
      </c>
      <c r="N24" s="136" t="s">
        <v>367</v>
      </c>
      <c r="O24" s="155">
        <f>IFERROR(VLOOKUP(K24,【参考】数式用!$A$2:$F$57,MATCH(N24,【参考】数式用!$C$3:$F$3,0)+2,0),"")</f>
        <v>9.1999999999999985E-2</v>
      </c>
      <c r="P24" s="458" t="s">
        <v>180</v>
      </c>
      <c r="Q24" s="141">
        <v>8</v>
      </c>
      <c r="R24" s="459" t="s">
        <v>271</v>
      </c>
      <c r="S24" s="141">
        <v>4</v>
      </c>
      <c r="T24" s="459" t="s">
        <v>272</v>
      </c>
      <c r="U24" s="141">
        <v>8</v>
      </c>
      <c r="V24" s="459" t="s">
        <v>271</v>
      </c>
      <c r="W24" s="141">
        <v>5</v>
      </c>
      <c r="X24" s="459" t="s">
        <v>273</v>
      </c>
      <c r="Y24" s="459" t="s">
        <v>274</v>
      </c>
      <c r="Z24" s="459">
        <f t="shared" si="16"/>
        <v>2</v>
      </c>
      <c r="AA24" s="460" t="s">
        <v>275</v>
      </c>
      <c r="AB24" s="461">
        <f t="shared" si="28"/>
        <v>1697840</v>
      </c>
      <c r="AC24" s="462">
        <f>IFERROR(ROUNDDOWN(ROUNDDOWN(ROUND(L24*VLOOKUP(K24,【参考】数式用!$A$4:$F$57,MATCH("処遇改善加算Ⅳ",【参考】数式用!$C$3:$F$3,0)+2,0),0)*M24,0)*Z24*0.5,0), "")</f>
        <v>590553</v>
      </c>
      <c r="AD24" s="156" t="s">
        <v>2596</v>
      </c>
      <c r="AE24" s="157" t="s">
        <v>421</v>
      </c>
      <c r="AF24" s="157" t="s">
        <v>421</v>
      </c>
      <c r="AG24" s="158">
        <v>1</v>
      </c>
      <c r="AH24" s="159"/>
      <c r="AI24" s="161" t="s">
        <v>402</v>
      </c>
      <c r="AJ24" s="161" t="s">
        <v>2597</v>
      </c>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加算対象</v>
      </c>
      <c r="AO24" s="551" t="str">
        <f t="shared" si="4"/>
        <v>N列に色付け</v>
      </c>
      <c r="AP24" s="550" t="str">
        <f t="shared" si="5"/>
        <v>入力済</v>
      </c>
      <c r="AQ24" s="550" t="str">
        <f t="shared" si="6"/>
        <v>入力済</v>
      </c>
      <c r="AR24" s="551" t="str">
        <f t="shared" si="7"/>
        <v>AF列に色付け</v>
      </c>
      <c r="AS24" s="550" t="str">
        <f t="shared" si="8"/>
        <v>入力済</v>
      </c>
      <c r="AT24" s="550" t="str">
        <f t="shared" si="9"/>
        <v>対象</v>
      </c>
      <c r="AU24" s="550">
        <f t="shared" si="29"/>
        <v>1</v>
      </c>
      <c r="AV24" s="551" t="str">
        <f t="shared" si="11"/>
        <v/>
      </c>
      <c r="AW24" s="551" t="str">
        <f t="shared" si="12"/>
        <v>入力済</v>
      </c>
      <c r="AX24" s="550" t="str">
        <f>IFERROR(VLOOKUP(K24,【参考】数式用!$AR$3:$AS$49,2, FALSE), "")</f>
        <v>地域密着型通所介護Ⅴ</v>
      </c>
      <c r="AY24" s="551" t="str">
        <f t="shared" si="13"/>
        <v>AI列に色付け</v>
      </c>
      <c r="AZ24" s="551" t="str">
        <f>IF(AND(N24="処遇改善加算Ⅰ", AI24=""), "未入力","入力済")</f>
        <v>入力済</v>
      </c>
      <c r="BA24" s="550" t="str">
        <f>IFERROR(VLOOKUP(K24,【参考】数式用!$AX$3:$AY$56, 2, FALSE), "")</f>
        <v>地域密着型通所介護R8</v>
      </c>
      <c r="BB24" s="551" t="str">
        <f t="shared" si="0"/>
        <v>AJ列に色付け</v>
      </c>
      <c r="BC24" s="551" t="str">
        <f>IF(AND(COUNTIF(AE24:AH24,"*令和８年度特例要件を*")&gt;0,AJ24=""), "未入力","入力済")</f>
        <v>入力済</v>
      </c>
      <c r="BD24" s="551" t="str">
        <f t="shared" si="17"/>
        <v>入力必要</v>
      </c>
      <c r="BE24" s="551" t="str">
        <f t="shared" si="1"/>
        <v>結城市</v>
      </c>
    </row>
    <row r="25" spans="1:57" s="553" customFormat="1" ht="109.95" customHeight="1" thickBot="1">
      <c r="A25" s="456">
        <v>14</v>
      </c>
      <c r="B25" s="724" t="str">
        <f>IF(基本情報入力シート!B53="","",基本情報入力シート!B53)</f>
        <v>0811111117</v>
      </c>
      <c r="C25" s="725"/>
      <c r="D25" s="725"/>
      <c r="E25" s="725"/>
      <c r="F25" s="726"/>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IF(基本情報入力シート!AG53="","",基本情報入力シート!AG53)</f>
        <v>10.55</v>
      </c>
      <c r="N25" s="136" t="s">
        <v>367</v>
      </c>
      <c r="O25" s="155">
        <f>IFERROR(VLOOKUP(K25,【参考】数式用!$A$2:$F$57,MATCH(N25,【参考】数式用!$C$3:$F$3,0)+2,0),"")</f>
        <v>8.5999999999999993E-2</v>
      </c>
      <c r="P25" s="458" t="s">
        <v>180</v>
      </c>
      <c r="Q25" s="141">
        <v>8</v>
      </c>
      <c r="R25" s="459" t="s">
        <v>271</v>
      </c>
      <c r="S25" s="141">
        <v>4</v>
      </c>
      <c r="T25" s="459" t="s">
        <v>272</v>
      </c>
      <c r="U25" s="141">
        <v>8</v>
      </c>
      <c r="V25" s="459" t="s">
        <v>271</v>
      </c>
      <c r="W25" s="141">
        <v>5</v>
      </c>
      <c r="X25" s="459" t="s">
        <v>182</v>
      </c>
      <c r="Y25" s="459" t="s">
        <v>274</v>
      </c>
      <c r="Z25" s="459">
        <f t="shared" si="16"/>
        <v>2</v>
      </c>
      <c r="AA25" s="460" t="s">
        <v>275</v>
      </c>
      <c r="AB25" s="461">
        <f t="shared" si="28"/>
        <v>1663988</v>
      </c>
      <c r="AC25" s="462">
        <f>IFERROR(ROUNDDOWN(ROUNDDOWN(ROUND(L25*VLOOKUP(K25,【参考】数式用!$A$4:$F$57,MATCH("処遇改善加算Ⅳ",【参考】数式用!$C$3:$F$3,0)+2,0),0)*M25,0)*Z25*0.5,0), "")</f>
        <v>512740</v>
      </c>
      <c r="AD25" s="156" t="s">
        <v>2596</v>
      </c>
      <c r="AE25" s="157" t="s">
        <v>430</v>
      </c>
      <c r="AF25" s="157" t="s">
        <v>430</v>
      </c>
      <c r="AG25" s="158">
        <v>0</v>
      </c>
      <c r="AH25" s="159" t="s">
        <v>430</v>
      </c>
      <c r="AI25" s="161" t="s">
        <v>403</v>
      </c>
      <c r="AJ25" s="161" t="s">
        <v>405</v>
      </c>
      <c r="AK25" s="545" t="str">
        <f t="shared" si="2"/>
        <v/>
      </c>
      <c r="AL25" s="546" t="str">
        <f t="shared" si="3"/>
        <v/>
      </c>
      <c r="AM25" s="547"/>
      <c r="AN25" s="551" t="str">
        <f>IFERROR(VLOOKUP(K25,【参考】数式用!$A$2:$N$57,14,FALSE),"")</f>
        <v>加算対象</v>
      </c>
      <c r="AO25" s="551" t="str">
        <f t="shared" si="4"/>
        <v>N列に色付け</v>
      </c>
      <c r="AP25" s="550" t="str">
        <f t="shared" si="5"/>
        <v>入力済</v>
      </c>
      <c r="AQ25" s="550" t="str">
        <f t="shared" si="6"/>
        <v>入力済</v>
      </c>
      <c r="AR25" s="551" t="str">
        <f t="shared" si="7"/>
        <v>AF列に色付け</v>
      </c>
      <c r="AS25" s="550" t="str">
        <f t="shared" si="8"/>
        <v>入力済</v>
      </c>
      <c r="AT25" s="550" t="str">
        <f t="shared" si="9"/>
        <v>対象</v>
      </c>
      <c r="AU25" s="550">
        <f t="shared" si="29"/>
        <v>1</v>
      </c>
      <c r="AV25" s="551" t="str">
        <f t="shared" si="11"/>
        <v>AH列に色付け</v>
      </c>
      <c r="AW25" s="551" t="str">
        <f t="shared" si="12"/>
        <v>入力済</v>
      </c>
      <c r="AX25" s="550" t="str">
        <f>IFERROR(VLOOKUP(K25,【参考】数式用!$AR$3:$AS$49,2, FALSE), "")</f>
        <v>通所リハビリテーションⅤ</v>
      </c>
      <c r="AY25" s="551" t="str">
        <f t="shared" si="13"/>
        <v>AI列に色付け</v>
      </c>
      <c r="AZ25" s="551" t="str">
        <f t="shared" si="14"/>
        <v>入力済</v>
      </c>
      <c r="BA25" s="550" t="str">
        <f>IFERROR(VLOOKUP(K25,【参考】数式用!$AX$3:$AY$56, 2, FALSE), "")</f>
        <v>通所リハビリテーションR8</v>
      </c>
      <c r="BB25" s="551" t="str">
        <f t="shared" si="0"/>
        <v>AJ列に色付け</v>
      </c>
      <c r="BC25" s="551" t="str">
        <f t="shared" si="15"/>
        <v>入力済</v>
      </c>
      <c r="BD25" s="551" t="str">
        <f t="shared" si="17"/>
        <v>入力必要</v>
      </c>
      <c r="BE25" s="551" t="str">
        <f t="shared" si="1"/>
        <v>茨城県</v>
      </c>
    </row>
    <row r="26" spans="1:57" s="553" customFormat="1" ht="109.95" customHeight="1" thickBot="1">
      <c r="A26" s="456">
        <v>15</v>
      </c>
      <c r="B26" s="724" t="str">
        <f>IF(基本情報入力シート!B54="","",基本情報入力シート!B54)</f>
        <v>0811111117</v>
      </c>
      <c r="C26" s="725"/>
      <c r="D26" s="725"/>
      <c r="E26" s="725"/>
      <c r="F26" s="726"/>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IF(基本情報入力シート!AG54="","",基本情報入力シート!AG54)</f>
        <v>10.55</v>
      </c>
      <c r="N26" s="136" t="s">
        <v>367</v>
      </c>
      <c r="O26" s="155">
        <f>IFERROR(VLOOKUP(K26,【参考】数式用!$A$2:$F$57,MATCH(N26,【参考】数式用!$C$3:$F$3,0)+2,0),"")</f>
        <v>8.5999999999999993E-2</v>
      </c>
      <c r="P26" s="458" t="s">
        <v>180</v>
      </c>
      <c r="Q26" s="141">
        <v>8</v>
      </c>
      <c r="R26" s="459" t="s">
        <v>271</v>
      </c>
      <c r="S26" s="141">
        <v>4</v>
      </c>
      <c r="T26" s="459" t="s">
        <v>272</v>
      </c>
      <c r="U26" s="141">
        <v>8</v>
      </c>
      <c r="V26" s="459" t="s">
        <v>271</v>
      </c>
      <c r="W26" s="141">
        <v>5</v>
      </c>
      <c r="X26" s="459" t="s">
        <v>182</v>
      </c>
      <c r="Y26" s="459" t="s">
        <v>274</v>
      </c>
      <c r="Z26" s="459">
        <f t="shared" si="16"/>
        <v>2</v>
      </c>
      <c r="AA26" s="460" t="s">
        <v>275</v>
      </c>
      <c r="AB26" s="461">
        <f t="shared" si="28"/>
        <v>1663988</v>
      </c>
      <c r="AC26" s="462">
        <f>IFERROR(ROUNDDOWN(ROUNDDOWN(ROUND(L26*VLOOKUP(K26,【参考】数式用!$A$4:$F$57,MATCH("処遇改善加算Ⅳ",【参考】数式用!$C$3:$F$3,0)+2,0),0)*M26,0)*Z26*0.5,0), "")</f>
        <v>512740</v>
      </c>
      <c r="AD26" s="156" t="s">
        <v>2596</v>
      </c>
      <c r="AE26" s="157" t="s">
        <v>430</v>
      </c>
      <c r="AF26" s="157" t="s">
        <v>430</v>
      </c>
      <c r="AG26" s="158">
        <v>0</v>
      </c>
      <c r="AH26" s="159" t="s">
        <v>430</v>
      </c>
      <c r="AI26" s="161" t="s">
        <v>403</v>
      </c>
      <c r="AJ26" s="161" t="s">
        <v>405</v>
      </c>
      <c r="AK26" s="545" t="str">
        <f t="shared" si="2"/>
        <v/>
      </c>
      <c r="AL26" s="546" t="str">
        <f t="shared" si="3"/>
        <v/>
      </c>
      <c r="AM26" s="547"/>
      <c r="AN26" s="551" t="str">
        <f>IFERROR(VLOOKUP(K26,【参考】数式用!$A$2:$N$57,14,FALSE),"")</f>
        <v>加算対象</v>
      </c>
      <c r="AO26" s="551" t="str">
        <f t="shared" si="4"/>
        <v>N列に色付け</v>
      </c>
      <c r="AP26" s="550" t="str">
        <f t="shared" si="5"/>
        <v>入力済</v>
      </c>
      <c r="AQ26" s="550" t="str">
        <f t="shared" si="6"/>
        <v>入力済</v>
      </c>
      <c r="AR26" s="551" t="str">
        <f t="shared" si="7"/>
        <v>AF列に色付け</v>
      </c>
      <c r="AS26" s="550" t="str">
        <f t="shared" si="8"/>
        <v>入力済</v>
      </c>
      <c r="AT26" s="550" t="str">
        <f t="shared" si="9"/>
        <v>対象</v>
      </c>
      <c r="AU26" s="550">
        <f t="shared" si="29"/>
        <v>1</v>
      </c>
      <c r="AV26" s="551" t="str">
        <f t="shared" si="11"/>
        <v>AH列に色付け</v>
      </c>
      <c r="AW26" s="551" t="str">
        <f t="shared" si="12"/>
        <v>入力済</v>
      </c>
      <c r="AX26" s="550" t="str">
        <f>IFERROR(VLOOKUP(K26,【参考】数式用!$AR$3:$AS$49,2, FALSE), "")</f>
        <v>介護予防通所リハビリテーションⅤ</v>
      </c>
      <c r="AY26" s="551" t="str">
        <f t="shared" si="13"/>
        <v>AI列に色付け</v>
      </c>
      <c r="AZ26" s="551" t="str">
        <f t="shared" si="14"/>
        <v>入力済</v>
      </c>
      <c r="BA26" s="550" t="str">
        <f>IFERROR(VLOOKUP(K26,【参考】数式用!$AX$3:$AY$56, 2, FALSE), "")</f>
        <v>介護予防通所リハビリテーションR8</v>
      </c>
      <c r="BB26" s="551" t="str">
        <f t="shared" si="0"/>
        <v>AJ列に色付け</v>
      </c>
      <c r="BC26" s="551" t="str">
        <f t="shared" si="15"/>
        <v>入力済</v>
      </c>
      <c r="BD26" s="551" t="str">
        <f t="shared" si="17"/>
        <v>入力必要</v>
      </c>
      <c r="BE26" s="551" t="str">
        <f t="shared" si="1"/>
        <v>茨城県</v>
      </c>
    </row>
    <row r="27" spans="1:57" s="553" customFormat="1" ht="109.95" customHeight="1" thickBot="1">
      <c r="A27" s="456">
        <v>16</v>
      </c>
      <c r="B27" s="724" t="str">
        <f>IF(基本情報入力シート!B55="","",基本情報入力シート!B55)</f>
        <v>0811111118</v>
      </c>
      <c r="C27" s="725"/>
      <c r="D27" s="725"/>
      <c r="E27" s="725"/>
      <c r="F27" s="726"/>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IF(基本情報入力シート!AG55="","",基本情報入力シート!AG55)</f>
        <v>10.14</v>
      </c>
      <c r="N27" s="136" t="s">
        <v>367</v>
      </c>
      <c r="O27" s="155">
        <f>IFERROR(VLOOKUP(K27,【参考】数式用!$A$2:$F$57,MATCH(N27,【参考】数式用!$C$3:$F$3,0)+2,0),"")</f>
        <v>0.128</v>
      </c>
      <c r="P27" s="458" t="s">
        <v>180</v>
      </c>
      <c r="Q27" s="141">
        <v>8</v>
      </c>
      <c r="R27" s="459" t="s">
        <v>271</v>
      </c>
      <c r="S27" s="141">
        <v>4</v>
      </c>
      <c r="T27" s="459" t="s">
        <v>272</v>
      </c>
      <c r="U27" s="141">
        <v>8</v>
      </c>
      <c r="V27" s="459" t="s">
        <v>271</v>
      </c>
      <c r="W27" s="141">
        <v>5</v>
      </c>
      <c r="X27" s="459" t="s">
        <v>273</v>
      </c>
      <c r="Y27" s="459" t="s">
        <v>274</v>
      </c>
      <c r="Z27" s="459">
        <f t="shared" si="16"/>
        <v>2</v>
      </c>
      <c r="AA27" s="460" t="s">
        <v>275</v>
      </c>
      <c r="AB27" s="461">
        <f t="shared" si="28"/>
        <v>2279146</v>
      </c>
      <c r="AC27" s="462">
        <f>IFERROR(ROUNDDOWN(ROUNDDOWN(ROUND(L27*VLOOKUP(K27,【参考】数式用!$A$4:$F$57,MATCH("処遇改善加算Ⅳ",【参考】数式用!$C$3:$F$3,0)+2,0),0)*M27,0)*Z27*0.5,0), "")</f>
        <v>783456</v>
      </c>
      <c r="AD27" s="156" t="s">
        <v>2596</v>
      </c>
      <c r="AE27" s="157" t="s">
        <v>2596</v>
      </c>
      <c r="AF27" s="157" t="s">
        <v>2596</v>
      </c>
      <c r="AG27" s="158">
        <v>1</v>
      </c>
      <c r="AH27" s="159"/>
      <c r="AI27" s="161" t="s">
        <v>403</v>
      </c>
      <c r="AJ27" s="161"/>
      <c r="AK27" s="545" t="str">
        <f t="shared" si="2"/>
        <v/>
      </c>
      <c r="AL27" s="546" t="str">
        <f t="shared" si="3"/>
        <v/>
      </c>
      <c r="AM27" s="547"/>
      <c r="AN27" s="551" t="str">
        <f>IFERROR(VLOOKUP(K27,【参考】数式用!$A$2:$N$57,14,FALSE),"")</f>
        <v>加算対象</v>
      </c>
      <c r="AO27" s="551" t="str">
        <f t="shared" si="4"/>
        <v>N列に色付け</v>
      </c>
      <c r="AP27" s="550" t="str">
        <f t="shared" si="5"/>
        <v>入力済</v>
      </c>
      <c r="AQ27" s="550" t="str">
        <f t="shared" si="6"/>
        <v>入力済</v>
      </c>
      <c r="AR27" s="551" t="str">
        <f t="shared" si="7"/>
        <v>AF列に色付け</v>
      </c>
      <c r="AS27" s="550" t="str">
        <f t="shared" si="8"/>
        <v>入力済</v>
      </c>
      <c r="AT27" s="550" t="str">
        <f t="shared" si="9"/>
        <v>対象</v>
      </c>
      <c r="AU27" s="550">
        <f t="shared" si="29"/>
        <v>1</v>
      </c>
      <c r="AV27" s="551" t="str">
        <f t="shared" si="11"/>
        <v/>
      </c>
      <c r="AW27" s="551" t="str">
        <f t="shared" si="12"/>
        <v>入力済</v>
      </c>
      <c r="AX27" s="550" t="str">
        <f>IFERROR(VLOOKUP(K27,【参考】数式用!$AR$3:$AS$49,2, FALSE), "")</f>
        <v>特定施設入居者生活介護Ⅴ</v>
      </c>
      <c r="AY27" s="551" t="str">
        <f t="shared" si="13"/>
        <v>AI列に色付け</v>
      </c>
      <c r="AZ27" s="551" t="str">
        <f t="shared" si="14"/>
        <v>入力済</v>
      </c>
      <c r="BA27" s="550" t="str">
        <f>IFERROR(VLOOKUP(K27,【参考】数式用!$AX$3:$AY$56, 2, FALSE), "")</f>
        <v>特定施設入居者生活介護R8</v>
      </c>
      <c r="BB27" s="551" t="str">
        <f t="shared" si="0"/>
        <v/>
      </c>
      <c r="BC27" s="551" t="str">
        <f t="shared" si="15"/>
        <v>入力済</v>
      </c>
      <c r="BD27" s="551" t="str">
        <f t="shared" si="17"/>
        <v/>
      </c>
      <c r="BE27" s="551" t="str">
        <f t="shared" si="1"/>
        <v>茨城県</v>
      </c>
    </row>
    <row r="28" spans="1:57" s="553" customFormat="1" ht="109.95" customHeight="1" thickBot="1">
      <c r="A28" s="456">
        <v>17</v>
      </c>
      <c r="B28" s="724" t="str">
        <f>IF(基本情報入力シート!B56="","",基本情報入力シート!B56)</f>
        <v>0811111118</v>
      </c>
      <c r="C28" s="725"/>
      <c r="D28" s="725"/>
      <c r="E28" s="725"/>
      <c r="F28" s="726"/>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IF(基本情報入力シート!AG56="","",基本情報入力シート!AG56)</f>
        <v>10.14</v>
      </c>
      <c r="N28" s="136" t="s">
        <v>367</v>
      </c>
      <c r="O28" s="155">
        <f>IFERROR(VLOOKUP(K28,【参考】数式用!$A$2:$F$57,MATCH(N28,【参考】数式用!$C$3:$F$3,0)+2,0),"")</f>
        <v>0.128</v>
      </c>
      <c r="P28" s="458" t="s">
        <v>180</v>
      </c>
      <c r="Q28" s="141">
        <v>8</v>
      </c>
      <c r="R28" s="459" t="s">
        <v>271</v>
      </c>
      <c r="S28" s="141">
        <v>4</v>
      </c>
      <c r="T28" s="459" t="s">
        <v>272</v>
      </c>
      <c r="U28" s="141">
        <v>8</v>
      </c>
      <c r="V28" s="459" t="s">
        <v>271</v>
      </c>
      <c r="W28" s="141">
        <v>5</v>
      </c>
      <c r="X28" s="459" t="s">
        <v>273</v>
      </c>
      <c r="Y28" s="459" t="s">
        <v>274</v>
      </c>
      <c r="Z28" s="459">
        <f t="shared" si="16"/>
        <v>2</v>
      </c>
      <c r="AA28" s="460" t="s">
        <v>275</v>
      </c>
      <c r="AB28" s="461">
        <f t="shared" si="28"/>
        <v>2279146</v>
      </c>
      <c r="AC28" s="462">
        <f>IFERROR(ROUNDDOWN(ROUNDDOWN(ROUND(L28*VLOOKUP(K28,【参考】数式用!$A$4:$F$57,MATCH("処遇改善加算Ⅳ",【参考】数式用!$C$3:$F$3,0)+2,0),0)*M28,0)*Z28*0.5,0), "")</f>
        <v>783456</v>
      </c>
      <c r="AD28" s="156" t="s">
        <v>2596</v>
      </c>
      <c r="AE28" s="157" t="s">
        <v>2596</v>
      </c>
      <c r="AF28" s="157" t="s">
        <v>2596</v>
      </c>
      <c r="AG28" s="158">
        <v>1</v>
      </c>
      <c r="AH28" s="159"/>
      <c r="AI28" s="161" t="s">
        <v>403</v>
      </c>
      <c r="AJ28" s="590"/>
      <c r="AK28" s="545" t="str">
        <f t="shared" si="2"/>
        <v/>
      </c>
      <c r="AL28" s="546" t="str">
        <f t="shared" si="3"/>
        <v/>
      </c>
      <c r="AM28" s="547"/>
      <c r="AN28" s="551" t="str">
        <f>IFERROR(VLOOKUP(K28,【参考】数式用!$A$2:$N$57,14,FALSE),"")</f>
        <v>加算対象</v>
      </c>
      <c r="AO28" s="551" t="str">
        <f t="shared" si="4"/>
        <v>N列に色付け</v>
      </c>
      <c r="AP28" s="550" t="str">
        <f t="shared" si="5"/>
        <v>入力済</v>
      </c>
      <c r="AQ28" s="550" t="str">
        <f t="shared" si="6"/>
        <v>入力済</v>
      </c>
      <c r="AR28" s="551" t="str">
        <f t="shared" si="7"/>
        <v>AF列に色付け</v>
      </c>
      <c r="AS28" s="550" t="str">
        <f t="shared" si="8"/>
        <v>入力済</v>
      </c>
      <c r="AT28" s="550" t="str">
        <f t="shared" si="9"/>
        <v>対象</v>
      </c>
      <c r="AU28" s="550">
        <f t="shared" si="29"/>
        <v>1</v>
      </c>
      <c r="AV28" s="551" t="str">
        <f t="shared" si="11"/>
        <v/>
      </c>
      <c r="AW28" s="551" t="str">
        <f t="shared" si="12"/>
        <v>入力済</v>
      </c>
      <c r="AX28" s="550" t="str">
        <f>IFERROR(VLOOKUP(K28,【参考】数式用!$AR$3:$AS$49,2, FALSE), "")</f>
        <v>特定施設入居者生活介護_短期利用型_Ⅴ</v>
      </c>
      <c r="AY28" s="551" t="str">
        <f t="shared" si="13"/>
        <v>AI列に色付け</v>
      </c>
      <c r="AZ28" s="551" t="str">
        <f t="shared" si="14"/>
        <v>入力済</v>
      </c>
      <c r="BA28" s="550" t="str">
        <f>IFERROR(VLOOKUP(K28,【参考】数式用!$AX$3:$AY$56, 2, FALSE), "")</f>
        <v>特定施設入居者生活介護_短期利用型_R8</v>
      </c>
      <c r="BB28" s="551" t="str">
        <f t="shared" si="0"/>
        <v/>
      </c>
      <c r="BC28" s="551" t="str">
        <f t="shared" si="15"/>
        <v>入力済</v>
      </c>
      <c r="BD28" s="551" t="str">
        <f t="shared" si="17"/>
        <v/>
      </c>
      <c r="BE28" s="551" t="str">
        <f t="shared" si="1"/>
        <v>茨城県</v>
      </c>
    </row>
    <row r="29" spans="1:57" s="553" customFormat="1" ht="109.95" customHeight="1" thickBot="1">
      <c r="A29" s="456">
        <v>18</v>
      </c>
      <c r="B29" s="724" t="str">
        <f>IF(基本情報入力シート!B57="","",基本情報入力シート!B57)</f>
        <v>0811111118</v>
      </c>
      <c r="C29" s="725"/>
      <c r="D29" s="725"/>
      <c r="E29" s="725"/>
      <c r="F29" s="726"/>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IF(基本情報入力シート!AG57="","",基本情報入力シート!AG57)</f>
        <v>10.14</v>
      </c>
      <c r="N29" s="136" t="s">
        <v>367</v>
      </c>
      <c r="O29" s="155">
        <f>IFERROR(VLOOKUP(K29,【参考】数式用!$A$2:$F$57,MATCH(N29,【参考】数式用!$C$3:$F$3,0)+2,0),"")</f>
        <v>0.128</v>
      </c>
      <c r="P29" s="458" t="s">
        <v>180</v>
      </c>
      <c r="Q29" s="141">
        <v>8</v>
      </c>
      <c r="R29" s="459" t="s">
        <v>271</v>
      </c>
      <c r="S29" s="141">
        <v>4</v>
      </c>
      <c r="T29" s="459" t="s">
        <v>272</v>
      </c>
      <c r="U29" s="141">
        <v>8</v>
      </c>
      <c r="V29" s="459" t="s">
        <v>271</v>
      </c>
      <c r="W29" s="141">
        <v>5</v>
      </c>
      <c r="X29" s="459" t="s">
        <v>273</v>
      </c>
      <c r="Y29" s="459" t="s">
        <v>274</v>
      </c>
      <c r="Z29" s="459">
        <f t="shared" si="16"/>
        <v>2</v>
      </c>
      <c r="AA29" s="460" t="s">
        <v>275</v>
      </c>
      <c r="AB29" s="461">
        <f t="shared" si="28"/>
        <v>2279146</v>
      </c>
      <c r="AC29" s="462">
        <f>IFERROR(ROUNDDOWN(ROUNDDOWN(ROUND(L29*VLOOKUP(K29,【参考】数式用!$A$4:$F$57,MATCH("処遇改善加算Ⅳ",【参考】数式用!$C$3:$F$3,0)+2,0),0)*M29,0)*Z29*0.5,0), "")</f>
        <v>783456</v>
      </c>
      <c r="AD29" s="156" t="s">
        <v>2596</v>
      </c>
      <c r="AE29" s="157" t="s">
        <v>2596</v>
      </c>
      <c r="AF29" s="157" t="s">
        <v>2596</v>
      </c>
      <c r="AG29" s="158">
        <v>1</v>
      </c>
      <c r="AH29" s="159"/>
      <c r="AI29" s="161" t="s">
        <v>403</v>
      </c>
      <c r="AJ29" s="590"/>
      <c r="AK29" s="545" t="str">
        <f t="shared" si="2"/>
        <v/>
      </c>
      <c r="AL29" s="546" t="str">
        <f t="shared" si="3"/>
        <v/>
      </c>
      <c r="AM29" s="547"/>
      <c r="AN29" s="551" t="str">
        <f>IFERROR(VLOOKUP(K29,【参考】数式用!$A$2:$N$57,14,FALSE),"")</f>
        <v>加算対象</v>
      </c>
      <c r="AO29" s="551" t="str">
        <f t="shared" si="4"/>
        <v>N列に色付け</v>
      </c>
      <c r="AP29" s="550" t="str">
        <f t="shared" si="5"/>
        <v>入力済</v>
      </c>
      <c r="AQ29" s="550" t="str">
        <f t="shared" si="6"/>
        <v>入力済</v>
      </c>
      <c r="AR29" s="551" t="str">
        <f t="shared" si="7"/>
        <v>AF列に色付け</v>
      </c>
      <c r="AS29" s="550" t="str">
        <f t="shared" si="8"/>
        <v>入力済</v>
      </c>
      <c r="AT29" s="550" t="str">
        <f t="shared" si="9"/>
        <v>対象</v>
      </c>
      <c r="AU29" s="550">
        <f t="shared" si="29"/>
        <v>1</v>
      </c>
      <c r="AV29" s="551" t="str">
        <f t="shared" si="11"/>
        <v/>
      </c>
      <c r="AW29" s="551" t="str">
        <f t="shared" si="12"/>
        <v>入力済</v>
      </c>
      <c r="AX29" s="550" t="str">
        <f>IFERROR(VLOOKUP(K29,【参考】数式用!$AR$3:$AS$49,2, FALSE), "")</f>
        <v>介護予防特定施設入居者生活介護Ⅴ</v>
      </c>
      <c r="AY29" s="551" t="str">
        <f t="shared" si="13"/>
        <v>AI列に色付け</v>
      </c>
      <c r="AZ29" s="551" t="e">
        <f>IF(AND(N29="処遇改善加算Ⅰ",#REF!= ""), "未入力","入力済")</f>
        <v>#REF!</v>
      </c>
      <c r="BA29" s="550" t="str">
        <f>IFERROR(VLOOKUP(K29,【参考】数式用!$AX$3:$AY$56, 2, FALSE), "")</f>
        <v>介護予防特定施設入居者生活介護R8</v>
      </c>
      <c r="BB29" s="551" t="str">
        <f t="shared" si="0"/>
        <v/>
      </c>
      <c r="BC29" s="551" t="e">
        <f>IF(AND(COUNTIF(AE29:AH29,"*令和８年度特例要件を*")&gt;0,#REF!=""), "未入力","入力済")</f>
        <v>#REF!</v>
      </c>
      <c r="BD29" s="551" t="str">
        <f t="shared" si="17"/>
        <v/>
      </c>
      <c r="BE29" s="551" t="str">
        <f t="shared" si="1"/>
        <v>茨城県</v>
      </c>
    </row>
    <row r="30" spans="1:57" s="553" customFormat="1" ht="109.95" customHeight="1" thickBot="1">
      <c r="A30" s="456">
        <v>19</v>
      </c>
      <c r="B30" s="724" t="str">
        <f>IF(基本情報入力シート!B58="","",基本情報入力シート!B58)</f>
        <v>0811111119</v>
      </c>
      <c r="C30" s="725"/>
      <c r="D30" s="725"/>
      <c r="E30" s="725"/>
      <c r="F30" s="726"/>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IF(基本情報入力シート!AG58="","",基本情報入力シート!AG58)</f>
        <v>10.14</v>
      </c>
      <c r="N30" s="136" t="s">
        <v>367</v>
      </c>
      <c r="O30" s="155">
        <f>IFERROR(VLOOKUP(K30,【参考】数式用!$A$2:$F$57,MATCH(N30,【参考】数式用!$C$3:$F$3,0)+2,0),"")</f>
        <v>0.128</v>
      </c>
      <c r="P30" s="458" t="s">
        <v>180</v>
      </c>
      <c r="Q30" s="141">
        <v>8</v>
      </c>
      <c r="R30" s="459" t="s">
        <v>271</v>
      </c>
      <c r="S30" s="141">
        <v>4</v>
      </c>
      <c r="T30" s="459" t="s">
        <v>272</v>
      </c>
      <c r="U30" s="141">
        <v>8</v>
      </c>
      <c r="V30" s="459" t="s">
        <v>271</v>
      </c>
      <c r="W30" s="141">
        <v>5</v>
      </c>
      <c r="X30" s="459" t="s">
        <v>182</v>
      </c>
      <c r="Y30" s="459" t="s">
        <v>274</v>
      </c>
      <c r="Z30" s="459">
        <f t="shared" si="16"/>
        <v>2</v>
      </c>
      <c r="AA30" s="460" t="s">
        <v>275</v>
      </c>
      <c r="AB30" s="461">
        <f t="shared" si="28"/>
        <v>2279146</v>
      </c>
      <c r="AC30" s="462">
        <f>IFERROR(ROUNDDOWN(ROUNDDOWN(ROUND(L30*VLOOKUP(K30,【参考】数式用!$A$4:$F$57,MATCH("処遇改善加算Ⅳ",【参考】数式用!$C$3:$F$3,0)+2,0),0)*M30,0)*Z30*0.5,0), "")</f>
        <v>783456</v>
      </c>
      <c r="AD30" s="156" t="s">
        <v>2596</v>
      </c>
      <c r="AE30" s="157" t="s">
        <v>2596</v>
      </c>
      <c r="AF30" s="157" t="s">
        <v>2596</v>
      </c>
      <c r="AG30" s="158">
        <v>1</v>
      </c>
      <c r="AH30" s="159"/>
      <c r="AI30" s="161" t="s">
        <v>403</v>
      </c>
      <c r="AJ30" s="590"/>
      <c r="AK30" s="545" t="str">
        <f t="shared" si="2"/>
        <v/>
      </c>
      <c r="AL30" s="546" t="str">
        <f t="shared" si="3"/>
        <v/>
      </c>
      <c r="AM30" s="547"/>
      <c r="AN30" s="551" t="str">
        <f>IFERROR(VLOOKUP(K30,【参考】数式用!$A$2:$N$57,14,FALSE),"")</f>
        <v>加算対象</v>
      </c>
      <c r="AO30" s="551" t="str">
        <f t="shared" si="4"/>
        <v>N列に色付け</v>
      </c>
      <c r="AP30" s="550" t="str">
        <f t="shared" si="5"/>
        <v>入力済</v>
      </c>
      <c r="AQ30" s="550" t="str">
        <f t="shared" si="6"/>
        <v>入力済</v>
      </c>
      <c r="AR30" s="551" t="str">
        <f t="shared" si="7"/>
        <v>AF列に色付け</v>
      </c>
      <c r="AS30" s="550" t="str">
        <f t="shared" si="8"/>
        <v>入力済</v>
      </c>
      <c r="AT30" s="550" t="str">
        <f t="shared" si="9"/>
        <v>対象</v>
      </c>
      <c r="AU30" s="550">
        <f t="shared" si="29"/>
        <v>1</v>
      </c>
      <c r="AV30" s="551" t="str">
        <f t="shared" si="11"/>
        <v/>
      </c>
      <c r="AW30" s="551" t="str">
        <f t="shared" si="12"/>
        <v>入力済</v>
      </c>
      <c r="AX30" s="550" t="str">
        <f>IFERROR(VLOOKUP(K30,【参考】数式用!$AR$3:$AS$49,2, FALSE), "")</f>
        <v>地域密着型特定施設入居者生活介護_Ⅴ</v>
      </c>
      <c r="AY30" s="551" t="str">
        <f t="shared" si="13"/>
        <v>AI列に色付け</v>
      </c>
      <c r="AZ30" s="551" t="str">
        <f t="shared" si="14"/>
        <v>入力済</v>
      </c>
      <c r="BA30" s="550" t="str">
        <f>IFERROR(VLOOKUP(K30,【参考】数式用!$AX$3:$AY$56, 2, FALSE), "")</f>
        <v>地域密着型特定施設入居者生活介護R8</v>
      </c>
      <c r="BB30" s="551" t="str">
        <f t="shared" si="0"/>
        <v/>
      </c>
      <c r="BC30" s="551" t="str">
        <f>IF(AND(COUNTIF(AE30:AH30,"*令和８年度特例要件を*")&gt;0,AI29=""), "未入力","入力済")</f>
        <v>入力済</v>
      </c>
      <c r="BD30" s="551" t="str">
        <f t="shared" si="17"/>
        <v/>
      </c>
      <c r="BE30" s="551" t="str">
        <f t="shared" si="1"/>
        <v>常総市</v>
      </c>
    </row>
    <row r="31" spans="1:57" s="553" customFormat="1" ht="109.95" customHeight="1" thickBot="1">
      <c r="A31" s="456">
        <v>20</v>
      </c>
      <c r="B31" s="724" t="str">
        <f>IF(基本情報入力シート!B59="","",基本情報入力シート!B59)</f>
        <v>0811111119</v>
      </c>
      <c r="C31" s="725"/>
      <c r="D31" s="725"/>
      <c r="E31" s="725"/>
      <c r="F31" s="726"/>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IF(基本情報入力シート!AG59="","",基本情報入力シート!AG59)</f>
        <v>10.14</v>
      </c>
      <c r="N31" s="136" t="s">
        <v>367</v>
      </c>
      <c r="O31" s="155">
        <f>IFERROR(VLOOKUP(K31,【参考】数式用!$A$2:$F$57,MATCH(N31,【参考】数式用!$C$3:$F$3,0)+2,0),"")</f>
        <v>0.128</v>
      </c>
      <c r="P31" s="458" t="s">
        <v>180</v>
      </c>
      <c r="Q31" s="141">
        <v>8</v>
      </c>
      <c r="R31" s="459" t="s">
        <v>271</v>
      </c>
      <c r="S31" s="141">
        <v>4</v>
      </c>
      <c r="T31" s="459" t="s">
        <v>272</v>
      </c>
      <c r="U31" s="141">
        <v>8</v>
      </c>
      <c r="V31" s="459" t="s">
        <v>271</v>
      </c>
      <c r="W31" s="141">
        <v>5</v>
      </c>
      <c r="X31" s="459" t="s">
        <v>273</v>
      </c>
      <c r="Y31" s="459" t="s">
        <v>274</v>
      </c>
      <c r="Z31" s="459">
        <f t="shared" si="16"/>
        <v>2</v>
      </c>
      <c r="AA31" s="460" t="s">
        <v>275</v>
      </c>
      <c r="AB31" s="461">
        <f t="shared" si="28"/>
        <v>2279146</v>
      </c>
      <c r="AC31" s="462">
        <f>IFERROR(ROUNDDOWN(ROUNDDOWN(ROUND(L31*VLOOKUP(K31,【参考】数式用!$A$4:$F$57,MATCH("処遇改善加算Ⅳ",【参考】数式用!$C$3:$F$3,0)+2,0),0)*M31,0)*Z31*0.5,0), "")</f>
        <v>783456</v>
      </c>
      <c r="AD31" s="156" t="s">
        <v>2596</v>
      </c>
      <c r="AE31" s="157" t="s">
        <v>2596</v>
      </c>
      <c r="AF31" s="157" t="s">
        <v>2596</v>
      </c>
      <c r="AG31" s="158">
        <v>1</v>
      </c>
      <c r="AH31" s="159"/>
      <c r="AI31" s="161" t="s">
        <v>403</v>
      </c>
      <c r="AJ31" s="161"/>
      <c r="AK31" s="545" t="str">
        <f t="shared" si="2"/>
        <v/>
      </c>
      <c r="AL31" s="546" t="str">
        <f t="shared" si="3"/>
        <v/>
      </c>
      <c r="AM31" s="547"/>
      <c r="AN31" s="551" t="str">
        <f>IFERROR(VLOOKUP(K31,【参考】数式用!$A$2:$N$57,14,FALSE),"")</f>
        <v>加算対象</v>
      </c>
      <c r="AO31" s="551" t="str">
        <f t="shared" si="4"/>
        <v>N列に色付け</v>
      </c>
      <c r="AP31" s="550" t="str">
        <f t="shared" si="5"/>
        <v>入力済</v>
      </c>
      <c r="AQ31" s="550" t="str">
        <f t="shared" si="6"/>
        <v>入力済</v>
      </c>
      <c r="AR31" s="551" t="str">
        <f t="shared" si="7"/>
        <v>AF列に色付け</v>
      </c>
      <c r="AS31" s="550" t="str">
        <f t="shared" si="8"/>
        <v>入力済</v>
      </c>
      <c r="AT31" s="550" t="str">
        <f t="shared" si="9"/>
        <v>対象</v>
      </c>
      <c r="AU31" s="550">
        <f t="shared" si="29"/>
        <v>1</v>
      </c>
      <c r="AV31" s="551" t="str">
        <f t="shared" si="11"/>
        <v/>
      </c>
      <c r="AW31" s="551" t="str">
        <f t="shared" si="12"/>
        <v>入力済</v>
      </c>
      <c r="AX31" s="550" t="str">
        <f>IFERROR(VLOOKUP(K31,【参考】数式用!$AR$3:$AS$49,2, FALSE), "")</f>
        <v>地域密着型特定施設入居者生活介護_短期利用型_Ⅴ</v>
      </c>
      <c r="AY31" s="551" t="str">
        <f t="shared" si="13"/>
        <v>AI列に色付け</v>
      </c>
      <c r="AZ31" s="551" t="str">
        <f t="shared" si="14"/>
        <v>入力済</v>
      </c>
      <c r="BA31" s="550" t="str">
        <f>IFERROR(VLOOKUP(K31,【参考】数式用!$AX$3:$AY$56, 2, FALSE), "")</f>
        <v>地域密着型特定施設入居者生活介護_短期利用型_R8</v>
      </c>
      <c r="BB31" s="551" t="str">
        <f t="shared" si="0"/>
        <v/>
      </c>
      <c r="BC31" s="551" t="str">
        <f t="shared" si="15"/>
        <v>入力済</v>
      </c>
      <c r="BD31" s="551" t="str">
        <f t="shared" si="17"/>
        <v/>
      </c>
      <c r="BE31" s="551" t="str">
        <f t="shared" si="1"/>
        <v>常総市</v>
      </c>
    </row>
    <row r="32" spans="1:57" s="553" customFormat="1" ht="109.95" customHeight="1" thickBot="1">
      <c r="A32" s="456">
        <v>21</v>
      </c>
      <c r="B32" s="724" t="str">
        <f>IF(基本情報入力シート!B60="","",基本情報入力シート!B60)</f>
        <v>0811111120</v>
      </c>
      <c r="C32" s="725"/>
      <c r="D32" s="725"/>
      <c r="E32" s="725"/>
      <c r="F32" s="726"/>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IF(基本情報入力シート!AG60="","",基本情報入力シート!AG60)</f>
        <v>10</v>
      </c>
      <c r="N32" s="136" t="s">
        <v>2594</v>
      </c>
      <c r="O32" s="155">
        <f>IFERROR(VLOOKUP(K32,【参考】数式用!$A$2:$F$57,MATCH(N32,【参考】数式用!$C$3:$F$3,0)+2,0),"")</f>
        <v>0.17399999999999999</v>
      </c>
      <c r="P32" s="458" t="s">
        <v>180</v>
      </c>
      <c r="Q32" s="141">
        <v>8</v>
      </c>
      <c r="R32" s="459" t="s">
        <v>271</v>
      </c>
      <c r="S32" s="141">
        <v>4</v>
      </c>
      <c r="T32" s="459" t="s">
        <v>272</v>
      </c>
      <c r="U32" s="141">
        <v>8</v>
      </c>
      <c r="V32" s="459" t="s">
        <v>271</v>
      </c>
      <c r="W32" s="141">
        <v>5</v>
      </c>
      <c r="X32" s="459" t="s">
        <v>273</v>
      </c>
      <c r="Y32" s="459" t="s">
        <v>274</v>
      </c>
      <c r="Z32" s="459">
        <f t="shared" si="16"/>
        <v>2</v>
      </c>
      <c r="AA32" s="460" t="s">
        <v>275</v>
      </c>
      <c r="AB32" s="461">
        <f t="shared" si="28"/>
        <v>2874480</v>
      </c>
      <c r="AC32" s="462">
        <f>IFERROR(ROUNDDOWN(ROUNDDOWN(ROUND(L32*VLOOKUP(K32,【参考】数式用!$A$4:$F$57,MATCH("処遇改善加算Ⅳ",【参考】数式用!$C$3:$F$3,0)+2,0),0)*M32,0)*Z32*0.5,0), "")</f>
        <v>1007720</v>
      </c>
      <c r="AD32" s="156" t="s">
        <v>2596</v>
      </c>
      <c r="AE32" s="157" t="s">
        <v>2596</v>
      </c>
      <c r="AF32" s="157" t="s">
        <v>2596</v>
      </c>
      <c r="AG32" s="158">
        <v>0</v>
      </c>
      <c r="AH32" s="159" t="s">
        <v>430</v>
      </c>
      <c r="AI32" s="161"/>
      <c r="AJ32" s="161" t="s">
        <v>405</v>
      </c>
      <c r="AK32" s="545" t="str">
        <f t="shared" si="2"/>
        <v/>
      </c>
      <c r="AL32" s="546" t="str">
        <f t="shared" si="3"/>
        <v/>
      </c>
      <c r="AM32" s="547"/>
      <c r="AN32" s="551" t="str">
        <f>IFERROR(VLOOKUP(K32,【参考】数式用!$A$2:$N$57,14,FALSE),"")</f>
        <v>加算対象</v>
      </c>
      <c r="AO32" s="551" t="str">
        <f t="shared" si="4"/>
        <v>N列に色付け</v>
      </c>
      <c r="AP32" s="550" t="str">
        <f t="shared" si="5"/>
        <v>入力済</v>
      </c>
      <c r="AQ32" s="550" t="str">
        <f t="shared" si="6"/>
        <v>入力済</v>
      </c>
      <c r="AR32" s="551" t="str">
        <f t="shared" si="7"/>
        <v>AF列に色付け</v>
      </c>
      <c r="AS32" s="550" t="str">
        <f t="shared" si="8"/>
        <v>入力済</v>
      </c>
      <c r="AT32" s="550" t="str">
        <f t="shared" si="9"/>
        <v>対象</v>
      </c>
      <c r="AU32" s="550">
        <f t="shared" si="29"/>
        <v>1</v>
      </c>
      <c r="AV32" s="551" t="str">
        <f t="shared" si="11"/>
        <v>AH列に色付け</v>
      </c>
      <c r="AW32" s="551" t="str">
        <f t="shared" si="12"/>
        <v>入力済</v>
      </c>
      <c r="AX32" s="550" t="str">
        <f>IFERROR(VLOOKUP(K32,【参考】数式用!$AR$3:$AS$49,2, FALSE), "")</f>
        <v>認知症対応型通所介護Ⅴ</v>
      </c>
      <c r="AY32" s="551" t="str">
        <f t="shared" si="13"/>
        <v/>
      </c>
      <c r="AZ32" s="551" t="str">
        <f t="shared" si="14"/>
        <v>入力済</v>
      </c>
      <c r="BA32" s="550" t="str">
        <f>IFERROR(VLOOKUP(K32,【参考】数式用!$AX$3:$AY$56, 2, FALSE), "")</f>
        <v>認知症対応型通所介護R8</v>
      </c>
      <c r="BB32" s="551" t="str">
        <f t="shared" si="0"/>
        <v>AJ列に色付け</v>
      </c>
      <c r="BC32" s="551" t="str">
        <f t="shared" si="15"/>
        <v>入力済</v>
      </c>
      <c r="BD32" s="551" t="str">
        <f t="shared" si="17"/>
        <v>入力必要</v>
      </c>
      <c r="BE32" s="551" t="str">
        <f t="shared" si="1"/>
        <v>常陸太田市</v>
      </c>
    </row>
    <row r="33" spans="1:67" s="553" customFormat="1" ht="109.95" customHeight="1" thickBot="1">
      <c r="A33" s="456">
        <v>22</v>
      </c>
      <c r="B33" s="724" t="str">
        <f>IF(基本情報入力シート!B61="","",基本情報入力シート!B61)</f>
        <v>0811111120</v>
      </c>
      <c r="C33" s="725"/>
      <c r="D33" s="725"/>
      <c r="E33" s="725"/>
      <c r="F33" s="726"/>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IF(基本情報入力シート!AG61="","",基本情報入力シート!AG61)</f>
        <v>10</v>
      </c>
      <c r="N33" s="136" t="s">
        <v>368</v>
      </c>
      <c r="O33" s="155">
        <f>IFERROR(VLOOKUP(K33,【参考】数式用!$A$2:$F$57,MATCH(N33,【参考】数式用!$C$3:$F$3,0)+2,0),"")</f>
        <v>0.17399999999999999</v>
      </c>
      <c r="P33" s="458" t="s">
        <v>180</v>
      </c>
      <c r="Q33" s="141">
        <v>8</v>
      </c>
      <c r="R33" s="459" t="s">
        <v>271</v>
      </c>
      <c r="S33" s="141">
        <v>4</v>
      </c>
      <c r="T33" s="459" t="s">
        <v>272</v>
      </c>
      <c r="U33" s="141">
        <v>8</v>
      </c>
      <c r="V33" s="459" t="s">
        <v>271</v>
      </c>
      <c r="W33" s="141">
        <v>5</v>
      </c>
      <c r="X33" s="459" t="s">
        <v>273</v>
      </c>
      <c r="Y33" s="459" t="s">
        <v>274</v>
      </c>
      <c r="Z33" s="459">
        <f t="shared" si="16"/>
        <v>2</v>
      </c>
      <c r="AA33" s="460" t="s">
        <v>275</v>
      </c>
      <c r="AB33" s="461">
        <f t="shared" si="28"/>
        <v>2874480</v>
      </c>
      <c r="AC33" s="462">
        <f>IFERROR(ROUNDDOWN(ROUNDDOWN(ROUND(L33*VLOOKUP(K33,【参考】数式用!$A$4:$F$57,MATCH("処遇改善加算Ⅳ",【参考】数式用!$C$3:$F$3,0)+2,0),0)*M33,0)*Z33*0.5,0), "")</f>
        <v>1007720</v>
      </c>
      <c r="AD33" s="156" t="s">
        <v>2596</v>
      </c>
      <c r="AE33" s="157" t="s">
        <v>2596</v>
      </c>
      <c r="AF33" s="157" t="s">
        <v>2596</v>
      </c>
      <c r="AG33" s="158">
        <v>0</v>
      </c>
      <c r="AH33" s="159" t="s">
        <v>430</v>
      </c>
      <c r="AI33" s="161"/>
      <c r="AJ33" s="161" t="s">
        <v>405</v>
      </c>
      <c r="AK33" s="545" t="str">
        <f t="shared" si="2"/>
        <v/>
      </c>
      <c r="AL33" s="546" t="str">
        <f t="shared" si="3"/>
        <v/>
      </c>
      <c r="AM33" s="547"/>
      <c r="AN33" s="551" t="str">
        <f>IFERROR(VLOOKUP(K33,【参考】数式用!$A$2:$N$57,14,FALSE),"")</f>
        <v>加算対象</v>
      </c>
      <c r="AO33" s="551" t="str">
        <f t="shared" si="4"/>
        <v>N列に色付け</v>
      </c>
      <c r="AP33" s="550" t="str">
        <f t="shared" si="5"/>
        <v>入力済</v>
      </c>
      <c r="AQ33" s="550" t="str">
        <f t="shared" si="6"/>
        <v>入力済</v>
      </c>
      <c r="AR33" s="551" t="str">
        <f t="shared" si="7"/>
        <v>AF列に色付け</v>
      </c>
      <c r="AS33" s="550" t="str">
        <f t="shared" si="8"/>
        <v>入力済</v>
      </c>
      <c r="AT33" s="550" t="str">
        <f t="shared" si="9"/>
        <v>対象</v>
      </c>
      <c r="AU33" s="550">
        <f t="shared" si="29"/>
        <v>1</v>
      </c>
      <c r="AV33" s="551" t="str">
        <f t="shared" si="11"/>
        <v>AH列に色付け</v>
      </c>
      <c r="AW33" s="551" t="str">
        <f t="shared" si="12"/>
        <v>入力済</v>
      </c>
      <c r="AX33" s="550" t="str">
        <f>IFERROR(VLOOKUP(K33,【参考】数式用!$AR$3:$AS$49,2, FALSE), "")</f>
        <v>介護予防認知症対応型通所介護Ⅴ</v>
      </c>
      <c r="AY33" s="551" t="str">
        <f t="shared" si="13"/>
        <v/>
      </c>
      <c r="AZ33" s="551" t="str">
        <f t="shared" si="14"/>
        <v>入力済</v>
      </c>
      <c r="BA33" s="550" t="str">
        <f>IFERROR(VLOOKUP(K33,【参考】数式用!$AX$3:$AY$56, 2, FALSE), "")</f>
        <v>介護予防認知症対応型通所介護R8</v>
      </c>
      <c r="BB33" s="551" t="str">
        <f t="shared" si="0"/>
        <v>AJ列に色付け</v>
      </c>
      <c r="BC33" s="551" t="str">
        <f t="shared" si="15"/>
        <v>入力済</v>
      </c>
      <c r="BD33" s="551" t="str">
        <f t="shared" si="17"/>
        <v>入力必要</v>
      </c>
      <c r="BE33" s="551" t="str">
        <f t="shared" si="1"/>
        <v>常陸太田市</v>
      </c>
    </row>
    <row r="34" spans="1:67" s="553" customFormat="1" ht="109.95" customHeight="1" thickBot="1">
      <c r="A34" s="456">
        <v>23</v>
      </c>
      <c r="B34" s="724" t="str">
        <f>IF(基本情報入力シート!B62="","",基本情報入力シート!B62)</f>
        <v>0811111121</v>
      </c>
      <c r="C34" s="725"/>
      <c r="D34" s="725"/>
      <c r="E34" s="725"/>
      <c r="F34" s="726"/>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IF(基本情報入力シート!AG62="","",基本情報入力シート!AG62)</f>
        <v>10</v>
      </c>
      <c r="N34" s="136" t="s">
        <v>368</v>
      </c>
      <c r="O34" s="155">
        <f>IFERROR(VLOOKUP(K34,【参考】数式用!$A$2:$F$57,MATCH(N34,【参考】数式用!$C$3:$F$3,0)+2,0),"")</f>
        <v>0.14600000000000002</v>
      </c>
      <c r="P34" s="458" t="s">
        <v>180</v>
      </c>
      <c r="Q34" s="141">
        <v>8</v>
      </c>
      <c r="R34" s="459" t="s">
        <v>271</v>
      </c>
      <c r="S34" s="141">
        <v>4</v>
      </c>
      <c r="T34" s="459" t="s">
        <v>272</v>
      </c>
      <c r="U34" s="141">
        <v>8</v>
      </c>
      <c r="V34" s="459" t="s">
        <v>271</v>
      </c>
      <c r="W34" s="141">
        <v>5</v>
      </c>
      <c r="X34" s="459" t="s">
        <v>182</v>
      </c>
      <c r="Y34" s="459" t="s">
        <v>274</v>
      </c>
      <c r="Z34" s="459">
        <f t="shared" si="16"/>
        <v>2</v>
      </c>
      <c r="AA34" s="460" t="s">
        <v>275</v>
      </c>
      <c r="AB34" s="461">
        <f t="shared" si="28"/>
        <v>2493680</v>
      </c>
      <c r="AC34" s="462">
        <f>IFERROR(ROUNDDOWN(ROUNDDOWN(ROUND(L34*VLOOKUP(K34,【参考】数式用!$A$4:$F$57,MATCH("処遇改善加算Ⅳ",【参考】数式用!$C$3:$F$3,0)+2,0),0)*M34,0)*Z34*0.5,0), "")</f>
        <v>905240</v>
      </c>
      <c r="AD34" s="156" t="s">
        <v>2596</v>
      </c>
      <c r="AE34" s="157" t="s">
        <v>2596</v>
      </c>
      <c r="AF34" s="157" t="s">
        <v>2596</v>
      </c>
      <c r="AG34" s="158">
        <v>0</v>
      </c>
      <c r="AH34" s="159" t="s">
        <v>569</v>
      </c>
      <c r="AI34" s="161"/>
      <c r="AJ34" s="161"/>
      <c r="AK34" s="545" t="str">
        <f t="shared" si="2"/>
        <v/>
      </c>
      <c r="AL34" s="546" t="str">
        <f t="shared" si="3"/>
        <v/>
      </c>
      <c r="AM34" s="547"/>
      <c r="AN34" s="551" t="str">
        <f>IFERROR(VLOOKUP(K34,【参考】数式用!$A$2:$N$57,14,FALSE),"")</f>
        <v>加算対象</v>
      </c>
      <c r="AO34" s="551" t="str">
        <f t="shared" si="4"/>
        <v>N列に色付け</v>
      </c>
      <c r="AP34" s="550" t="str">
        <f t="shared" si="5"/>
        <v>入力済</v>
      </c>
      <c r="AQ34" s="550" t="str">
        <f t="shared" si="6"/>
        <v>入力済</v>
      </c>
      <c r="AR34" s="551" t="str">
        <f t="shared" si="7"/>
        <v>AF列に色付け</v>
      </c>
      <c r="AS34" s="550" t="str">
        <f t="shared" si="8"/>
        <v>入力済</v>
      </c>
      <c r="AT34" s="550" t="str">
        <f t="shared" si="9"/>
        <v>対象</v>
      </c>
      <c r="AU34" s="550">
        <f t="shared" si="29"/>
        <v>1</v>
      </c>
      <c r="AV34" s="551" t="str">
        <f t="shared" si="11"/>
        <v>AH列に色付け</v>
      </c>
      <c r="AW34" s="551" t="str">
        <f t="shared" si="12"/>
        <v>入力済</v>
      </c>
      <c r="AX34" s="550" t="str">
        <f>IFERROR(VLOOKUP(K34,【参考】数式用!$AR$3:$AS$49,2, FALSE), "")</f>
        <v>小規模多機能型居宅介護Ⅴ</v>
      </c>
      <c r="AY34" s="551" t="str">
        <f t="shared" si="13"/>
        <v/>
      </c>
      <c r="AZ34" s="551" t="str">
        <f t="shared" si="14"/>
        <v>入力済</v>
      </c>
      <c r="BA34" s="550" t="str">
        <f>IFERROR(VLOOKUP(K34,【参考】数式用!$AX$3:$AY$56, 2, FALSE), "")</f>
        <v>小規模多機能型居宅介護R8</v>
      </c>
      <c r="BB34" s="551" t="str">
        <f t="shared" si="0"/>
        <v/>
      </c>
      <c r="BC34" s="551" t="str">
        <f t="shared" si="15"/>
        <v>入力済</v>
      </c>
      <c r="BD34" s="551" t="str">
        <f t="shared" si="17"/>
        <v/>
      </c>
      <c r="BE34" s="551" t="str">
        <f t="shared" si="1"/>
        <v>高萩市</v>
      </c>
    </row>
    <row r="35" spans="1:67" s="553" customFormat="1" ht="109.95" customHeight="1" thickBot="1">
      <c r="A35" s="456">
        <v>24</v>
      </c>
      <c r="B35" s="724" t="str">
        <f>IF(基本情報入力シート!B63="","",基本情報入力シート!B63)</f>
        <v>0811111121</v>
      </c>
      <c r="C35" s="725"/>
      <c r="D35" s="725"/>
      <c r="E35" s="725"/>
      <c r="F35" s="726"/>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IF(基本情報入力シート!AG63="","",基本情報入力シート!AG63)</f>
        <v>10</v>
      </c>
      <c r="N35" s="136" t="s">
        <v>368</v>
      </c>
      <c r="O35" s="155">
        <f>IFERROR(VLOOKUP(K35,【参考】数式用!$A$2:$F$57,MATCH(N35,【参考】数式用!$C$3:$F$3,0)+2,0),"")</f>
        <v>0.14600000000000002</v>
      </c>
      <c r="P35" s="458" t="s">
        <v>180</v>
      </c>
      <c r="Q35" s="141">
        <v>8</v>
      </c>
      <c r="R35" s="459" t="s">
        <v>271</v>
      </c>
      <c r="S35" s="141">
        <v>4</v>
      </c>
      <c r="T35" s="459" t="s">
        <v>272</v>
      </c>
      <c r="U35" s="141">
        <v>8</v>
      </c>
      <c r="V35" s="459" t="s">
        <v>271</v>
      </c>
      <c r="W35" s="141">
        <v>5</v>
      </c>
      <c r="X35" s="459" t="s">
        <v>182</v>
      </c>
      <c r="Y35" s="459" t="s">
        <v>274</v>
      </c>
      <c r="Z35" s="459">
        <f t="shared" si="16"/>
        <v>2</v>
      </c>
      <c r="AA35" s="460" t="s">
        <v>275</v>
      </c>
      <c r="AB35" s="461">
        <f t="shared" si="28"/>
        <v>2493680</v>
      </c>
      <c r="AC35" s="462">
        <f>IFERROR(ROUNDDOWN(ROUNDDOWN(ROUND(L35*VLOOKUP(K35,【参考】数式用!$A$4:$F$57,MATCH("処遇改善加算Ⅳ",【参考】数式用!$C$3:$F$3,0)+2,0),0)*M35,0)*Z35*0.5,0), "")</f>
        <v>905240</v>
      </c>
      <c r="AD35" s="156" t="s">
        <v>2596</v>
      </c>
      <c r="AE35" s="157" t="s">
        <v>2596</v>
      </c>
      <c r="AF35" s="157" t="s">
        <v>2596</v>
      </c>
      <c r="AG35" s="158">
        <v>0</v>
      </c>
      <c r="AH35" s="159" t="s">
        <v>569</v>
      </c>
      <c r="AI35" s="161"/>
      <c r="AJ35" s="161"/>
      <c r="AK35" s="545" t="str">
        <f t="shared" si="2"/>
        <v/>
      </c>
      <c r="AL35" s="546" t="str">
        <f t="shared" si="3"/>
        <v/>
      </c>
      <c r="AM35" s="547"/>
      <c r="AN35" s="551" t="str">
        <f>IFERROR(VLOOKUP(K35,【参考】数式用!$A$2:$N$57,14,FALSE),"")</f>
        <v>加算対象</v>
      </c>
      <c r="AO35" s="551" t="str">
        <f t="shared" si="4"/>
        <v>N列に色付け</v>
      </c>
      <c r="AP35" s="550" t="str">
        <f t="shared" si="5"/>
        <v>入力済</v>
      </c>
      <c r="AQ35" s="550" t="str">
        <f t="shared" si="6"/>
        <v>入力済</v>
      </c>
      <c r="AR35" s="551" t="str">
        <f t="shared" si="7"/>
        <v>AF列に色付け</v>
      </c>
      <c r="AS35" s="550" t="str">
        <f t="shared" si="8"/>
        <v>入力済</v>
      </c>
      <c r="AT35" s="550" t="str">
        <f t="shared" si="9"/>
        <v>対象</v>
      </c>
      <c r="AU35" s="550">
        <f t="shared" si="29"/>
        <v>1</v>
      </c>
      <c r="AV35" s="551" t="str">
        <f t="shared" si="11"/>
        <v>AH列に色付け</v>
      </c>
      <c r="AW35" s="551" t="str">
        <f t="shared" si="12"/>
        <v>入力済</v>
      </c>
      <c r="AX35" s="550" t="str">
        <f>IFERROR(VLOOKUP(K35,【参考】数式用!$AR$3:$AS$49,2, FALSE), "")</f>
        <v>小規模多機能型居宅介護_短期利用型_Ⅴ</v>
      </c>
      <c r="AY35" s="551" t="str">
        <f t="shared" si="13"/>
        <v/>
      </c>
      <c r="AZ35" s="551" t="str">
        <f t="shared" si="14"/>
        <v>入力済</v>
      </c>
      <c r="BA35" s="550" t="str">
        <f>IFERROR(VLOOKUP(K35,【参考】数式用!$AX$3:$AY$56, 2, FALSE), "")</f>
        <v>小規模多機能型居宅介護_短期利用型_R8</v>
      </c>
      <c r="BB35" s="551" t="str">
        <f t="shared" si="0"/>
        <v/>
      </c>
      <c r="BC35" s="551" t="str">
        <f t="shared" si="15"/>
        <v>入力済</v>
      </c>
      <c r="BD35" s="551" t="str">
        <f t="shared" si="17"/>
        <v/>
      </c>
      <c r="BE35" s="551" t="str">
        <f t="shared" si="1"/>
        <v>高萩市</v>
      </c>
    </row>
    <row r="36" spans="1:67" s="553" customFormat="1" ht="109.95" customHeight="1" thickBot="1">
      <c r="A36" s="456">
        <v>25</v>
      </c>
      <c r="B36" s="724" t="str">
        <f>IF(基本情報入力シート!B64="","",基本情報入力シート!B64)</f>
        <v>0811111121</v>
      </c>
      <c r="C36" s="725"/>
      <c r="D36" s="725"/>
      <c r="E36" s="725"/>
      <c r="F36" s="726"/>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IF(基本情報入力シート!AG64="","",基本情報入力シート!AG64)</f>
        <v>10</v>
      </c>
      <c r="N36" s="136" t="s">
        <v>368</v>
      </c>
      <c r="O36" s="155">
        <f>IFERROR(VLOOKUP(K36,【参考】数式用!$A$2:$F$57,MATCH(N36,【参考】数式用!$C$3:$F$3,0)+2,0),"")</f>
        <v>0.14600000000000002</v>
      </c>
      <c r="P36" s="458" t="s">
        <v>180</v>
      </c>
      <c r="Q36" s="141">
        <v>8</v>
      </c>
      <c r="R36" s="459" t="s">
        <v>271</v>
      </c>
      <c r="S36" s="141">
        <v>4</v>
      </c>
      <c r="T36" s="459" t="s">
        <v>272</v>
      </c>
      <c r="U36" s="141">
        <v>8</v>
      </c>
      <c r="V36" s="459" t="s">
        <v>271</v>
      </c>
      <c r="W36" s="141">
        <v>5</v>
      </c>
      <c r="X36" s="459" t="s">
        <v>273</v>
      </c>
      <c r="Y36" s="459" t="s">
        <v>274</v>
      </c>
      <c r="Z36" s="459">
        <f t="shared" si="16"/>
        <v>2</v>
      </c>
      <c r="AA36" s="460" t="s">
        <v>275</v>
      </c>
      <c r="AB36" s="461">
        <f t="shared" si="28"/>
        <v>2493680</v>
      </c>
      <c r="AC36" s="462">
        <f>IFERROR(ROUNDDOWN(ROUNDDOWN(ROUND(L36*VLOOKUP(K36,【参考】数式用!$A$4:$F$57,MATCH("処遇改善加算Ⅳ",【参考】数式用!$C$3:$F$3,0)+2,0),0)*M36,0)*Z36*0.5,0), "")</f>
        <v>905240</v>
      </c>
      <c r="AD36" s="156" t="s">
        <v>2596</v>
      </c>
      <c r="AE36" s="157" t="s">
        <v>2596</v>
      </c>
      <c r="AF36" s="157" t="s">
        <v>2596</v>
      </c>
      <c r="AG36" s="158">
        <v>0</v>
      </c>
      <c r="AH36" s="159" t="s">
        <v>569</v>
      </c>
      <c r="AI36" s="161"/>
      <c r="AJ36" s="161"/>
      <c r="AK36" s="545" t="str">
        <f t="shared" si="2"/>
        <v/>
      </c>
      <c r="AL36" s="546" t="str">
        <f t="shared" si="3"/>
        <v/>
      </c>
      <c r="AM36" s="547"/>
      <c r="AN36" s="551" t="str">
        <f>IFERROR(VLOOKUP(K36,【参考】数式用!$A$2:$N$57,14,FALSE),"")</f>
        <v>加算対象</v>
      </c>
      <c r="AO36" s="551" t="str">
        <f t="shared" si="4"/>
        <v>N列に色付け</v>
      </c>
      <c r="AP36" s="550" t="str">
        <f t="shared" si="5"/>
        <v>入力済</v>
      </c>
      <c r="AQ36" s="550" t="str">
        <f t="shared" si="6"/>
        <v>入力済</v>
      </c>
      <c r="AR36" s="551" t="str">
        <f t="shared" si="7"/>
        <v>AF列に色付け</v>
      </c>
      <c r="AS36" s="550" t="str">
        <f t="shared" si="8"/>
        <v>入力済</v>
      </c>
      <c r="AT36" s="550" t="str">
        <f t="shared" si="9"/>
        <v>対象</v>
      </c>
      <c r="AU36" s="550">
        <f t="shared" si="29"/>
        <v>1</v>
      </c>
      <c r="AV36" s="551" t="str">
        <f t="shared" si="11"/>
        <v>AH列に色付け</v>
      </c>
      <c r="AW36" s="551" t="str">
        <f t="shared" si="12"/>
        <v>入力済</v>
      </c>
      <c r="AX36" s="550" t="str">
        <f>IFERROR(VLOOKUP(K36,【参考】数式用!$AR$3:$AS$49,2, FALSE), "")</f>
        <v>介護予防小規模多機能型居宅介護Ⅴ</v>
      </c>
      <c r="AY36" s="551" t="str">
        <f t="shared" si="13"/>
        <v/>
      </c>
      <c r="AZ36" s="551" t="str">
        <f t="shared" si="14"/>
        <v>入力済</v>
      </c>
      <c r="BA36" s="550" t="str">
        <f>IFERROR(VLOOKUP(K36,【参考】数式用!$AX$3:$AY$56, 2, FALSE), "")</f>
        <v>介護予防小規模多機能型居宅介護R8</v>
      </c>
      <c r="BB36" s="551" t="str">
        <f t="shared" si="0"/>
        <v/>
      </c>
      <c r="BC36" s="551" t="str">
        <f t="shared" si="15"/>
        <v>入力済</v>
      </c>
      <c r="BD36" s="551" t="str">
        <f t="shared" si="17"/>
        <v/>
      </c>
      <c r="BE36" s="551" t="str">
        <f t="shared" si="1"/>
        <v>高萩市</v>
      </c>
    </row>
    <row r="37" spans="1:67" s="553" customFormat="1" ht="109.95" customHeight="1" thickBot="1">
      <c r="A37" s="456">
        <v>26</v>
      </c>
      <c r="B37" s="724" t="str">
        <f>IF(基本情報入力シート!B65="","",基本情報入力シート!B65)</f>
        <v>0811111121</v>
      </c>
      <c r="C37" s="725"/>
      <c r="D37" s="725"/>
      <c r="E37" s="725"/>
      <c r="F37" s="726"/>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IF(基本情報入力シート!AG65="","",基本情報入力シート!AG65)</f>
        <v>10</v>
      </c>
      <c r="N37" s="136" t="s">
        <v>368</v>
      </c>
      <c r="O37" s="155">
        <f>IFERROR(VLOOKUP(K37,【参考】数式用!$A$2:$F$57,MATCH(N37,【参考】数式用!$C$3:$F$3,0)+2,0),"")</f>
        <v>0.14600000000000002</v>
      </c>
      <c r="P37" s="458" t="s">
        <v>180</v>
      </c>
      <c r="Q37" s="141">
        <v>8</v>
      </c>
      <c r="R37" s="459" t="s">
        <v>271</v>
      </c>
      <c r="S37" s="141">
        <v>4</v>
      </c>
      <c r="T37" s="459" t="s">
        <v>272</v>
      </c>
      <c r="U37" s="141">
        <v>8</v>
      </c>
      <c r="V37" s="459" t="s">
        <v>271</v>
      </c>
      <c r="W37" s="141">
        <v>5</v>
      </c>
      <c r="X37" s="459" t="s">
        <v>273</v>
      </c>
      <c r="Y37" s="459" t="s">
        <v>274</v>
      </c>
      <c r="Z37" s="459">
        <f t="shared" si="16"/>
        <v>2</v>
      </c>
      <c r="AA37" s="460" t="s">
        <v>275</v>
      </c>
      <c r="AB37" s="461">
        <f t="shared" si="28"/>
        <v>2493680</v>
      </c>
      <c r="AC37" s="462">
        <f>IFERROR(ROUNDDOWN(ROUNDDOWN(ROUND(L37*VLOOKUP(K37,【参考】数式用!$A$4:$F$57,MATCH("処遇改善加算Ⅳ",【参考】数式用!$C$3:$F$3,0)+2,0),0)*M37,0)*Z37*0.5,0), "")</f>
        <v>905240</v>
      </c>
      <c r="AD37" s="156" t="s">
        <v>2596</v>
      </c>
      <c r="AE37" s="157" t="s">
        <v>2596</v>
      </c>
      <c r="AF37" s="157" t="s">
        <v>2596</v>
      </c>
      <c r="AG37" s="158">
        <v>0</v>
      </c>
      <c r="AH37" s="159" t="s">
        <v>569</v>
      </c>
      <c r="AI37" s="161"/>
      <c r="AJ37" s="161"/>
      <c r="AK37" s="545" t="str">
        <f t="shared" si="2"/>
        <v/>
      </c>
      <c r="AL37" s="546" t="str">
        <f t="shared" si="3"/>
        <v/>
      </c>
      <c r="AM37" s="547"/>
      <c r="AN37" s="551" t="str">
        <f>IFERROR(VLOOKUP(K37,【参考】数式用!$A$2:$N$57,14,FALSE),"")</f>
        <v>加算対象</v>
      </c>
      <c r="AO37" s="551" t="str">
        <f t="shared" si="4"/>
        <v>N列に色付け</v>
      </c>
      <c r="AP37" s="550" t="str">
        <f t="shared" si="5"/>
        <v>入力済</v>
      </c>
      <c r="AQ37" s="550" t="str">
        <f t="shared" si="6"/>
        <v>入力済</v>
      </c>
      <c r="AR37" s="551" t="str">
        <f t="shared" si="7"/>
        <v>AF列に色付け</v>
      </c>
      <c r="AS37" s="550" t="str">
        <f t="shared" si="8"/>
        <v>入力済</v>
      </c>
      <c r="AT37" s="550" t="str">
        <f t="shared" si="9"/>
        <v>対象</v>
      </c>
      <c r="AU37" s="550">
        <f t="shared" si="29"/>
        <v>1</v>
      </c>
      <c r="AV37" s="551" t="str">
        <f t="shared" si="11"/>
        <v>AH列に色付け</v>
      </c>
      <c r="AW37" s="551" t="str">
        <f t="shared" si="12"/>
        <v>入力済</v>
      </c>
      <c r="AX37" s="550" t="str">
        <f>IFERROR(VLOOKUP(K37,【参考】数式用!$AR$3:$AS$49,2, FALSE), "")</f>
        <v>介護予防小規模多機能型居宅介護_短期利用型_Ⅴ</v>
      </c>
      <c r="AY37" s="551" t="str">
        <f t="shared" si="13"/>
        <v/>
      </c>
      <c r="AZ37" s="551" t="str">
        <f t="shared" si="14"/>
        <v>入力済</v>
      </c>
      <c r="BA37" s="550" t="str">
        <f>IFERROR(VLOOKUP(K37,【参考】数式用!$AX$3:$AY$56, 2, FALSE), "")</f>
        <v>介護予防小規模多機能型居宅介護_短期利用型_R8</v>
      </c>
      <c r="BB37" s="551" t="str">
        <f t="shared" si="0"/>
        <v/>
      </c>
      <c r="BC37" s="551" t="str">
        <f t="shared" si="15"/>
        <v>入力済</v>
      </c>
      <c r="BD37" s="551" t="str">
        <f t="shared" si="17"/>
        <v/>
      </c>
      <c r="BE37" s="551" t="str">
        <f t="shared" si="1"/>
        <v>高萩市</v>
      </c>
    </row>
    <row r="38" spans="1:67" s="553" customFormat="1" ht="109.95" customHeight="1" thickBot="1">
      <c r="A38" s="456">
        <v>27</v>
      </c>
      <c r="B38" s="724" t="str">
        <f>IF(基本情報入力シート!B66="","",基本情報入力シート!B66)</f>
        <v>0811111122</v>
      </c>
      <c r="C38" s="725"/>
      <c r="D38" s="725"/>
      <c r="E38" s="725"/>
      <c r="F38" s="726"/>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IF(基本情報入力シート!AG66="","",基本情報入力シート!AG66)</f>
        <v>10</v>
      </c>
      <c r="N38" s="136" t="s">
        <v>368</v>
      </c>
      <c r="O38" s="155">
        <f>IFERROR(VLOOKUP(K38,【参考】数式用!$A$2:$F$57,MATCH(N38,【参考】数式用!$C$3:$F$3,0)+2,0),"")</f>
        <v>0.14600000000000002</v>
      </c>
      <c r="P38" s="458" t="s">
        <v>180</v>
      </c>
      <c r="Q38" s="141">
        <v>8</v>
      </c>
      <c r="R38" s="459" t="s">
        <v>271</v>
      </c>
      <c r="S38" s="141">
        <v>4</v>
      </c>
      <c r="T38" s="459" t="s">
        <v>272</v>
      </c>
      <c r="U38" s="141">
        <v>8</v>
      </c>
      <c r="V38" s="459" t="s">
        <v>271</v>
      </c>
      <c r="W38" s="141">
        <v>5</v>
      </c>
      <c r="X38" s="459" t="s">
        <v>273</v>
      </c>
      <c r="Y38" s="459" t="s">
        <v>274</v>
      </c>
      <c r="Z38" s="459">
        <f t="shared" si="16"/>
        <v>2</v>
      </c>
      <c r="AA38" s="460" t="s">
        <v>275</v>
      </c>
      <c r="AB38" s="461">
        <f t="shared" si="28"/>
        <v>2493680</v>
      </c>
      <c r="AC38" s="462">
        <f>IFERROR(ROUNDDOWN(ROUNDDOWN(ROUND(L38*VLOOKUP(K38,【参考】数式用!$A$4:$F$57,MATCH("処遇改善加算Ⅳ",【参考】数式用!$C$3:$F$3,0)+2,0),0)*M38,0)*Z38*0.5,0), "")</f>
        <v>905240</v>
      </c>
      <c r="AD38" s="156" t="s">
        <v>2596</v>
      </c>
      <c r="AE38" s="157" t="s">
        <v>2596</v>
      </c>
      <c r="AF38" s="157" t="s">
        <v>2596</v>
      </c>
      <c r="AG38" s="158">
        <v>1</v>
      </c>
      <c r="AH38" s="159"/>
      <c r="AI38" s="161"/>
      <c r="AJ38" s="161"/>
      <c r="AK38" s="545" t="str">
        <f t="shared" si="2"/>
        <v/>
      </c>
      <c r="AL38" s="546" t="str">
        <f t="shared" si="3"/>
        <v/>
      </c>
      <c r="AM38" s="547"/>
      <c r="AN38" s="551" t="str">
        <f>IFERROR(VLOOKUP(K38,【参考】数式用!$A$2:$N$57,14,FALSE),"")</f>
        <v>加算対象</v>
      </c>
      <c r="AO38" s="551" t="str">
        <f t="shared" si="4"/>
        <v>N列に色付け</v>
      </c>
      <c r="AP38" s="550" t="str">
        <f t="shared" si="5"/>
        <v>入力済</v>
      </c>
      <c r="AQ38" s="550" t="str">
        <f t="shared" si="6"/>
        <v>入力済</v>
      </c>
      <c r="AR38" s="551" t="str">
        <f t="shared" si="7"/>
        <v>AF列に色付け</v>
      </c>
      <c r="AS38" s="550" t="str">
        <f t="shared" si="8"/>
        <v>入力済</v>
      </c>
      <c r="AT38" s="550" t="str">
        <f t="shared" si="9"/>
        <v>対象</v>
      </c>
      <c r="AU38" s="550">
        <f t="shared" si="29"/>
        <v>1</v>
      </c>
      <c r="AV38" s="551" t="str">
        <f t="shared" si="11"/>
        <v/>
      </c>
      <c r="AW38" s="551" t="str">
        <f t="shared" si="12"/>
        <v>入力済</v>
      </c>
      <c r="AX38" s="550" t="str">
        <f>IFERROR(VLOOKUP(K38,【参考】数式用!$AR$3:$AS$49,2, FALSE), "")</f>
        <v>複合型サービス_看護小規模多機能型居宅介護_Ⅴ</v>
      </c>
      <c r="AY38" s="551" t="str">
        <f t="shared" si="13"/>
        <v/>
      </c>
      <c r="AZ38" s="551" t="str">
        <f t="shared" si="14"/>
        <v>入力済</v>
      </c>
      <c r="BA38" s="550" t="str">
        <f>IFERROR(VLOOKUP(K38,【参考】数式用!$AX$3:$AY$56, 2, FALSE), "")</f>
        <v>複合型サービス_看護小規模多機能型居宅介護_R8</v>
      </c>
      <c r="BB38" s="551" t="str">
        <f t="shared" si="0"/>
        <v/>
      </c>
      <c r="BC38" s="551" t="str">
        <f t="shared" si="15"/>
        <v>入力済</v>
      </c>
      <c r="BD38" s="551" t="str">
        <f t="shared" si="17"/>
        <v/>
      </c>
      <c r="BE38" s="551" t="str">
        <f t="shared" si="1"/>
        <v>北茨城市</v>
      </c>
    </row>
    <row r="39" spans="1:67" s="553" customFormat="1" ht="109.95" customHeight="1" thickBot="1">
      <c r="A39" s="456">
        <v>28</v>
      </c>
      <c r="B39" s="724" t="str">
        <f>IF(基本情報入力シート!B67="","",基本情報入力シート!B67)</f>
        <v>0811111122</v>
      </c>
      <c r="C39" s="725"/>
      <c r="D39" s="725"/>
      <c r="E39" s="725"/>
      <c r="F39" s="726"/>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IF(基本情報入力シート!AG67="","",基本情報入力シート!AG67)</f>
        <v>10</v>
      </c>
      <c r="N39" s="136" t="s">
        <v>368</v>
      </c>
      <c r="O39" s="155">
        <f>IFERROR(VLOOKUP(K39,【参考】数式用!$A$2:$F$57,MATCH(N39,【参考】数式用!$C$3:$F$3,0)+2,0),"")</f>
        <v>0.14600000000000002</v>
      </c>
      <c r="P39" s="458" t="s">
        <v>180</v>
      </c>
      <c r="Q39" s="141">
        <v>8</v>
      </c>
      <c r="R39" s="459" t="s">
        <v>271</v>
      </c>
      <c r="S39" s="141">
        <v>4</v>
      </c>
      <c r="T39" s="459" t="s">
        <v>272</v>
      </c>
      <c r="U39" s="141">
        <v>8</v>
      </c>
      <c r="V39" s="459" t="s">
        <v>271</v>
      </c>
      <c r="W39" s="141">
        <v>5</v>
      </c>
      <c r="X39" s="459" t="s">
        <v>182</v>
      </c>
      <c r="Y39" s="459" t="s">
        <v>274</v>
      </c>
      <c r="Z39" s="459">
        <f t="shared" si="16"/>
        <v>2</v>
      </c>
      <c r="AA39" s="460" t="s">
        <v>275</v>
      </c>
      <c r="AB39" s="461">
        <f t="shared" si="28"/>
        <v>2493680</v>
      </c>
      <c r="AC39" s="462">
        <f>IFERROR(ROUNDDOWN(ROUNDDOWN(ROUND(L39*VLOOKUP(K39,【参考】数式用!$A$4:$F$57,MATCH("処遇改善加算Ⅳ",【参考】数式用!$C$3:$F$3,0)+2,0),0)*M39,0)*Z39*0.5,0), "")</f>
        <v>905240</v>
      </c>
      <c r="AD39" s="156" t="s">
        <v>2596</v>
      </c>
      <c r="AE39" s="157" t="s">
        <v>2596</v>
      </c>
      <c r="AF39" s="157" t="s">
        <v>2596</v>
      </c>
      <c r="AG39" s="158">
        <v>1</v>
      </c>
      <c r="AH39" s="159"/>
      <c r="AI39" s="161"/>
      <c r="AJ39" s="161"/>
      <c r="AK39" s="545" t="str">
        <f t="shared" si="2"/>
        <v/>
      </c>
      <c r="AL39" s="546" t="str">
        <f t="shared" si="3"/>
        <v/>
      </c>
      <c r="AM39" s="547"/>
      <c r="AN39" s="551" t="str">
        <f>IFERROR(VLOOKUP(K39,【参考】数式用!$A$2:$N$57,14,FALSE),"")</f>
        <v>加算対象</v>
      </c>
      <c r="AO39" s="551" t="str">
        <f t="shared" si="4"/>
        <v>N列に色付け</v>
      </c>
      <c r="AP39" s="550" t="str">
        <f t="shared" si="5"/>
        <v>入力済</v>
      </c>
      <c r="AQ39" s="550" t="str">
        <f t="shared" si="6"/>
        <v>入力済</v>
      </c>
      <c r="AR39" s="551" t="str">
        <f t="shared" si="7"/>
        <v>AF列に色付け</v>
      </c>
      <c r="AS39" s="550" t="str">
        <f t="shared" si="8"/>
        <v>入力済</v>
      </c>
      <c r="AT39" s="550" t="str">
        <f t="shared" si="9"/>
        <v>対象</v>
      </c>
      <c r="AU39" s="550">
        <f t="shared" si="29"/>
        <v>1</v>
      </c>
      <c r="AV39" s="551" t="str">
        <f t="shared" si="11"/>
        <v/>
      </c>
      <c r="AW39" s="551" t="str">
        <f t="shared" si="12"/>
        <v>入力済</v>
      </c>
      <c r="AX39" s="550" t="str">
        <f>IFERROR(VLOOKUP(K39,【参考】数式用!$AR$3:$AS$49,2, FALSE), "")</f>
        <v>複合型サービス_看護小規模多機能型居宅介護・短期利用型_Ⅴ</v>
      </c>
      <c r="AY39" s="551" t="str">
        <f t="shared" si="13"/>
        <v/>
      </c>
      <c r="AZ39" s="551" t="str">
        <f t="shared" si="14"/>
        <v>入力済</v>
      </c>
      <c r="BA39" s="550" t="str">
        <f>IFERROR(VLOOKUP(K39,【参考】数式用!$AX$3:$AY$56, 2, FALSE), "")</f>
        <v>複合型サービス_看護小規模多機能型居宅介護・短期利用型_R8</v>
      </c>
      <c r="BB39" s="551" t="str">
        <f t="shared" si="0"/>
        <v/>
      </c>
      <c r="BC39" s="551" t="str">
        <f t="shared" si="15"/>
        <v>入力済</v>
      </c>
      <c r="BD39" s="551" t="str">
        <f t="shared" si="17"/>
        <v/>
      </c>
      <c r="BE39" s="551" t="str">
        <f t="shared" si="1"/>
        <v>北茨城市</v>
      </c>
    </row>
    <row r="40" spans="1:67" s="553" customFormat="1" ht="109.95" customHeight="1" thickBot="1">
      <c r="A40" s="456">
        <v>29</v>
      </c>
      <c r="B40" s="724" t="str">
        <f>IF(基本情報入力シート!B68="","",基本情報入力シート!B68)</f>
        <v>0811111123</v>
      </c>
      <c r="C40" s="725"/>
      <c r="D40" s="725"/>
      <c r="E40" s="725"/>
      <c r="F40" s="726"/>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IF(基本情報入力シート!AG68="","",基本情報入力シート!AG68)</f>
        <v>10.14</v>
      </c>
      <c r="N40" s="136" t="s">
        <v>369</v>
      </c>
      <c r="O40" s="155">
        <f>IFERROR(VLOOKUP(K40,【参考】数式用!$A$2:$F$57,MATCH(N40,【参考】数式用!$C$3:$F$3,0)+2,0),"")</f>
        <v>0.155</v>
      </c>
      <c r="P40" s="458" t="s">
        <v>180</v>
      </c>
      <c r="Q40" s="141">
        <v>8</v>
      </c>
      <c r="R40" s="459" t="s">
        <v>271</v>
      </c>
      <c r="S40" s="141">
        <v>4</v>
      </c>
      <c r="T40" s="459" t="s">
        <v>272</v>
      </c>
      <c r="U40" s="141">
        <v>8</v>
      </c>
      <c r="V40" s="459" t="s">
        <v>271</v>
      </c>
      <c r="W40" s="141">
        <v>5</v>
      </c>
      <c r="X40" s="459" t="s">
        <v>273</v>
      </c>
      <c r="Y40" s="459" t="s">
        <v>274</v>
      </c>
      <c r="Z40" s="459">
        <f t="shared" si="16"/>
        <v>2</v>
      </c>
      <c r="AA40" s="460" t="s">
        <v>275</v>
      </c>
      <c r="AB40" s="461">
        <f t="shared" si="28"/>
        <v>2583874</v>
      </c>
      <c r="AC40" s="462">
        <f>IFERROR(ROUNDDOWN(ROUNDDOWN(ROUND(L40*VLOOKUP(K40,【参考】数式用!$A$4:$F$57,MATCH("処遇改善加算Ⅳ",【参考】数式用!$C$3:$F$3,0)+2,0),0)*M40,0)*Z40*0.5,0), "")</f>
        <v>1041885</v>
      </c>
      <c r="AD40" s="156" t="s">
        <v>2596</v>
      </c>
      <c r="AE40" s="157" t="s">
        <v>2596</v>
      </c>
      <c r="AF40" s="157" t="s">
        <v>2596</v>
      </c>
      <c r="AG40" s="158"/>
      <c r="AH40" s="159"/>
      <c r="AI40" s="161"/>
      <c r="AJ40" s="161"/>
      <c r="AK40" s="545" t="str">
        <f t="shared" si="2"/>
        <v/>
      </c>
      <c r="AL40" s="546" t="str">
        <f t="shared" si="3"/>
        <v/>
      </c>
      <c r="AM40" s="547"/>
      <c r="AN40" s="551" t="str">
        <f>IFERROR(VLOOKUP(K40,【参考】数式用!$A$2:$N$57,14,FALSE),"")</f>
        <v>加算対象</v>
      </c>
      <c r="AO40" s="551" t="str">
        <f t="shared" si="4"/>
        <v>N列に色付け</v>
      </c>
      <c r="AP40" s="550" t="str">
        <f t="shared" si="5"/>
        <v>入力済</v>
      </c>
      <c r="AQ40" s="550" t="str">
        <f t="shared" si="6"/>
        <v>入力済</v>
      </c>
      <c r="AR40" s="551" t="str">
        <f t="shared" si="7"/>
        <v>AF列に色付け</v>
      </c>
      <c r="AS40" s="550" t="str">
        <f t="shared" si="8"/>
        <v>入力済</v>
      </c>
      <c r="AT40" s="550" t="str">
        <f t="shared" si="9"/>
        <v/>
      </c>
      <c r="AU40" s="550" t="str">
        <f t="shared" si="29"/>
        <v/>
      </c>
      <c r="AV40" s="551" t="str">
        <f t="shared" si="11"/>
        <v/>
      </c>
      <c r="AW40" s="551" t="str">
        <f t="shared" si="12"/>
        <v>入力済</v>
      </c>
      <c r="AX40" s="550" t="str">
        <f>IFERROR(VLOOKUP(K40,【参考】数式用!$AR$3:$AS$49,2, FALSE), "")</f>
        <v>認知症対応型共同生活介護Ⅴ</v>
      </c>
      <c r="AY40" s="551" t="str">
        <f t="shared" si="13"/>
        <v/>
      </c>
      <c r="AZ40" s="551" t="str">
        <f t="shared" si="14"/>
        <v>入力済</v>
      </c>
      <c r="BA40" s="550" t="str">
        <f>IFERROR(VLOOKUP(K40,【参考】数式用!$AX$3:$AY$56, 2, FALSE), "")</f>
        <v>認知症対応型共同生活介護R8</v>
      </c>
      <c r="BB40" s="551" t="str">
        <f t="shared" si="0"/>
        <v/>
      </c>
      <c r="BC40" s="551" t="str">
        <f t="shared" si="15"/>
        <v>入力済</v>
      </c>
      <c r="BD40" s="551" t="str">
        <f t="shared" si="17"/>
        <v/>
      </c>
      <c r="BE40" s="551" t="str">
        <f t="shared" si="1"/>
        <v>笠間市</v>
      </c>
    </row>
    <row r="41" spans="1:67" s="518" customFormat="1" ht="109.95" customHeight="1" thickBot="1">
      <c r="A41" s="456">
        <v>30</v>
      </c>
      <c r="B41" s="724" t="str">
        <f>IF(基本情報入力シート!B69="","",基本情報入力シート!B69)</f>
        <v>0811111123</v>
      </c>
      <c r="C41" s="725"/>
      <c r="D41" s="725"/>
      <c r="E41" s="725"/>
      <c r="F41" s="726"/>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IF(基本情報入力シート!AG69="","",基本情報入力シート!AG69)</f>
        <v>10.14</v>
      </c>
      <c r="N41" s="136" t="s">
        <v>369</v>
      </c>
      <c r="O41" s="155">
        <f>IFERROR(VLOOKUP(K41,【参考】数式用!$A$2:$F$57,MATCH(N41,【参考】数式用!$C$3:$F$3,0)+2,0),"")</f>
        <v>0.155</v>
      </c>
      <c r="P41" s="458" t="s">
        <v>180</v>
      </c>
      <c r="Q41" s="141">
        <v>8</v>
      </c>
      <c r="R41" s="459" t="s">
        <v>271</v>
      </c>
      <c r="S41" s="141">
        <v>4</v>
      </c>
      <c r="T41" s="459" t="s">
        <v>272</v>
      </c>
      <c r="U41" s="141">
        <v>8</v>
      </c>
      <c r="V41" s="459" t="s">
        <v>271</v>
      </c>
      <c r="W41" s="141">
        <v>5</v>
      </c>
      <c r="X41" s="459" t="s">
        <v>273</v>
      </c>
      <c r="Y41" s="459" t="s">
        <v>274</v>
      </c>
      <c r="Z41" s="459">
        <f t="shared" si="16"/>
        <v>2</v>
      </c>
      <c r="AA41" s="460" t="s">
        <v>275</v>
      </c>
      <c r="AB41" s="461">
        <f t="shared" si="28"/>
        <v>2583874</v>
      </c>
      <c r="AC41" s="462">
        <f>IFERROR(ROUNDDOWN(ROUNDDOWN(ROUND(L41*VLOOKUP(K41,【参考】数式用!$A$4:$F$57,MATCH("処遇改善加算Ⅳ",【参考】数式用!$C$3:$F$3,0)+2,0),0)*M41,0)*Z41*0.5,0), "")</f>
        <v>1041885</v>
      </c>
      <c r="AD41" s="156" t="s">
        <v>2596</v>
      </c>
      <c r="AE41" s="157" t="s">
        <v>2596</v>
      </c>
      <c r="AF41" s="157" t="s">
        <v>2596</v>
      </c>
      <c r="AG41" s="158"/>
      <c r="AH41" s="159"/>
      <c r="AI41" s="161"/>
      <c r="AJ41" s="161"/>
      <c r="AK41" s="545" t="str">
        <f t="shared" si="2"/>
        <v/>
      </c>
      <c r="AL41" s="546" t="str">
        <f t="shared" si="3"/>
        <v/>
      </c>
      <c r="AM41" s="547"/>
      <c r="AN41" s="551" t="str">
        <f>IFERROR(VLOOKUP(K41,【参考】数式用!$A$2:$N$57,14,FALSE),"")</f>
        <v>加算対象</v>
      </c>
      <c r="AO41" s="551" t="str">
        <f t="shared" si="4"/>
        <v>N列に色付け</v>
      </c>
      <c r="AP41" s="550" t="str">
        <f t="shared" si="5"/>
        <v>入力済</v>
      </c>
      <c r="AQ41" s="550" t="str">
        <f t="shared" si="6"/>
        <v>入力済</v>
      </c>
      <c r="AR41" s="551" t="str">
        <f t="shared" si="7"/>
        <v>AF列に色付け</v>
      </c>
      <c r="AS41" s="550" t="str">
        <f t="shared" si="8"/>
        <v>入力済</v>
      </c>
      <c r="AT41" s="550" t="str">
        <f t="shared" si="9"/>
        <v/>
      </c>
      <c r="AU41" s="550" t="str">
        <f t="shared" si="29"/>
        <v/>
      </c>
      <c r="AV41" s="551" t="str">
        <f t="shared" si="11"/>
        <v/>
      </c>
      <c r="AW41" s="551" t="str">
        <f t="shared" si="12"/>
        <v>入力済</v>
      </c>
      <c r="AX41" s="550" t="str">
        <f>IFERROR(VLOOKUP(K41,【参考】数式用!$AR$3:$AS$49,2, FALSE), "")</f>
        <v>認知症対応型共同生活介護_短期利用型_Ⅴ</v>
      </c>
      <c r="AY41" s="551" t="str">
        <f t="shared" si="13"/>
        <v/>
      </c>
      <c r="AZ41" s="551" t="str">
        <f t="shared" si="14"/>
        <v>入力済</v>
      </c>
      <c r="BA41" s="550" t="str">
        <f>IFERROR(VLOOKUP(K41,【参考】数式用!$AX$3:$AY$56, 2, FALSE), "")</f>
        <v>認知症対応型共同生活介護_短期利用型_R8</v>
      </c>
      <c r="BB41" s="551" t="str">
        <f t="shared" si="0"/>
        <v/>
      </c>
      <c r="BC41" s="551" t="str">
        <f t="shared" si="15"/>
        <v>入力済</v>
      </c>
      <c r="BD41" s="551" t="str">
        <f t="shared" si="17"/>
        <v/>
      </c>
      <c r="BE41" s="551" t="str">
        <f t="shared" si="1"/>
        <v>笠間市</v>
      </c>
      <c r="BF41" s="516"/>
      <c r="BG41" s="516"/>
      <c r="BH41" s="516"/>
      <c r="BI41" s="516"/>
      <c r="BJ41" s="516"/>
      <c r="BK41" s="516"/>
      <c r="BL41" s="516"/>
      <c r="BM41" s="516"/>
      <c r="BN41" s="516"/>
      <c r="BO41" s="517"/>
    </row>
    <row r="42" spans="1:67" s="518" customFormat="1" ht="109.95" customHeight="1" thickBot="1">
      <c r="A42" s="456">
        <v>31</v>
      </c>
      <c r="B42" s="724" t="str">
        <f>IF(基本情報入力シート!B70="","",基本情報入力シート!B70)</f>
        <v>0811111123</v>
      </c>
      <c r="C42" s="725"/>
      <c r="D42" s="725"/>
      <c r="E42" s="725"/>
      <c r="F42" s="726"/>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IF(基本情報入力シート!AG70="","",基本情報入力シート!AG70)</f>
        <v>10.14</v>
      </c>
      <c r="N42" s="136" t="s">
        <v>369</v>
      </c>
      <c r="O42" s="155">
        <f>IFERROR(VLOOKUP(K42,【参考】数式用!$A$2:$F$57,MATCH(N42,【参考】数式用!$C$3:$F$3,0)+2,0),"")</f>
        <v>0.155</v>
      </c>
      <c r="P42" s="458" t="s">
        <v>180</v>
      </c>
      <c r="Q42" s="141">
        <v>8</v>
      </c>
      <c r="R42" s="459" t="s">
        <v>271</v>
      </c>
      <c r="S42" s="141">
        <v>4</v>
      </c>
      <c r="T42" s="459" t="s">
        <v>272</v>
      </c>
      <c r="U42" s="141">
        <v>8</v>
      </c>
      <c r="V42" s="459" t="s">
        <v>271</v>
      </c>
      <c r="W42" s="141">
        <v>5</v>
      </c>
      <c r="X42" s="459" t="s">
        <v>273</v>
      </c>
      <c r="Y42" s="459" t="s">
        <v>274</v>
      </c>
      <c r="Z42" s="459">
        <f t="shared" si="16"/>
        <v>2</v>
      </c>
      <c r="AA42" s="460" t="s">
        <v>275</v>
      </c>
      <c r="AB42" s="461">
        <f t="shared" si="28"/>
        <v>2583874</v>
      </c>
      <c r="AC42" s="462">
        <f>IFERROR(ROUNDDOWN(ROUNDDOWN(ROUND(L42*VLOOKUP(K42,【参考】数式用!$A$4:$F$57,MATCH("処遇改善加算Ⅳ",【参考】数式用!$C$3:$F$3,0)+2,0),0)*M42,0)*Z42*0.5,0), "")</f>
        <v>1041885</v>
      </c>
      <c r="AD42" s="156" t="s">
        <v>2596</v>
      </c>
      <c r="AE42" s="157" t="s">
        <v>2596</v>
      </c>
      <c r="AF42" s="157" t="s">
        <v>2596</v>
      </c>
      <c r="AG42" s="158"/>
      <c r="AH42" s="159"/>
      <c r="AI42" s="161"/>
      <c r="AJ42" s="161"/>
      <c r="AK42" s="545" t="str">
        <f t="shared" si="2"/>
        <v/>
      </c>
      <c r="AL42" s="546" t="str">
        <f t="shared" si="3"/>
        <v/>
      </c>
      <c r="AM42" s="547"/>
      <c r="AN42" s="551" t="str">
        <f>IFERROR(VLOOKUP(K42,【参考】数式用!$A$2:$N$57,14,FALSE),"")</f>
        <v>加算対象</v>
      </c>
      <c r="AO42" s="551" t="str">
        <f t="shared" si="4"/>
        <v>N列に色付け</v>
      </c>
      <c r="AP42" s="550" t="str">
        <f t="shared" si="5"/>
        <v>入力済</v>
      </c>
      <c r="AQ42" s="550" t="str">
        <f t="shared" si="6"/>
        <v>入力済</v>
      </c>
      <c r="AR42" s="551" t="str">
        <f t="shared" si="7"/>
        <v>AF列に色付け</v>
      </c>
      <c r="AS42" s="550" t="str">
        <f t="shared" si="8"/>
        <v>入力済</v>
      </c>
      <c r="AT42" s="550" t="str">
        <f t="shared" si="9"/>
        <v/>
      </c>
      <c r="AU42" s="550" t="str">
        <f t="shared" si="29"/>
        <v/>
      </c>
      <c r="AV42" s="551" t="str">
        <f t="shared" si="11"/>
        <v/>
      </c>
      <c r="AW42" s="551" t="str">
        <f t="shared" si="12"/>
        <v>入力済</v>
      </c>
      <c r="AX42" s="550" t="str">
        <f>IFERROR(VLOOKUP(K42,【参考】数式用!$AR$3:$AS$49,2, FALSE), "")</f>
        <v>介護予防認知症対応型共同生活介護Ⅴ</v>
      </c>
      <c r="AY42" s="551" t="str">
        <f t="shared" si="13"/>
        <v/>
      </c>
      <c r="AZ42" s="551" t="str">
        <f t="shared" si="14"/>
        <v>入力済</v>
      </c>
      <c r="BA42" s="550" t="str">
        <f>IFERROR(VLOOKUP(K42,【参考】数式用!$AX$3:$AY$56, 2, FALSE), "")</f>
        <v>介護予防認知症対応型共同生活介護R8</v>
      </c>
      <c r="BB42" s="551" t="str">
        <f t="shared" si="0"/>
        <v/>
      </c>
      <c r="BC42" s="551" t="str">
        <f t="shared" si="15"/>
        <v>入力済</v>
      </c>
      <c r="BD42" s="551" t="str">
        <f t="shared" si="17"/>
        <v/>
      </c>
      <c r="BE42" s="551" t="str">
        <f t="shared" si="1"/>
        <v>笠間市</v>
      </c>
      <c r="BF42" s="516"/>
      <c r="BG42" s="516"/>
      <c r="BH42" s="516"/>
      <c r="BI42" s="516"/>
      <c r="BJ42" s="516"/>
      <c r="BK42" s="516"/>
      <c r="BL42" s="516"/>
      <c r="BM42" s="516"/>
      <c r="BN42" s="516"/>
      <c r="BO42" s="517"/>
    </row>
    <row r="43" spans="1:67" s="518" customFormat="1" ht="109.95" customHeight="1" thickBot="1">
      <c r="A43" s="456">
        <v>32</v>
      </c>
      <c r="B43" s="724" t="str">
        <f>IF(基本情報入力シート!B71="","",基本情報入力シート!B71)</f>
        <v>0811111123</v>
      </c>
      <c r="C43" s="725"/>
      <c r="D43" s="725"/>
      <c r="E43" s="725"/>
      <c r="F43" s="726"/>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IF(基本情報入力シート!AG71="","",基本情報入力シート!AG71)</f>
        <v>10.14</v>
      </c>
      <c r="N43" s="136" t="s">
        <v>369</v>
      </c>
      <c r="O43" s="155">
        <f>IFERROR(VLOOKUP(K43,【参考】数式用!$A$2:$F$57,MATCH(N43,【参考】数式用!$C$3:$F$3,0)+2,0),"")</f>
        <v>0.155</v>
      </c>
      <c r="P43" s="458" t="s">
        <v>180</v>
      </c>
      <c r="Q43" s="141">
        <v>8</v>
      </c>
      <c r="R43" s="459" t="s">
        <v>271</v>
      </c>
      <c r="S43" s="141">
        <v>4</v>
      </c>
      <c r="T43" s="459" t="s">
        <v>272</v>
      </c>
      <c r="U43" s="141">
        <v>8</v>
      </c>
      <c r="V43" s="459" t="s">
        <v>271</v>
      </c>
      <c r="W43" s="141">
        <v>5</v>
      </c>
      <c r="X43" s="459" t="s">
        <v>182</v>
      </c>
      <c r="Y43" s="459" t="s">
        <v>274</v>
      </c>
      <c r="Z43" s="459">
        <f t="shared" si="16"/>
        <v>2</v>
      </c>
      <c r="AA43" s="460" t="s">
        <v>275</v>
      </c>
      <c r="AB43" s="461">
        <f t="shared" si="28"/>
        <v>2583874</v>
      </c>
      <c r="AC43" s="462">
        <f>IFERROR(ROUNDDOWN(ROUNDDOWN(ROUND(L43*VLOOKUP(K43,【参考】数式用!$A$4:$F$57,MATCH("処遇改善加算Ⅳ",【参考】数式用!$C$3:$F$3,0)+2,0),0)*M43,0)*Z43*0.5,0), "")</f>
        <v>1041885</v>
      </c>
      <c r="AD43" s="156" t="s">
        <v>2596</v>
      </c>
      <c r="AE43" s="157" t="s">
        <v>2596</v>
      </c>
      <c r="AF43" s="157" t="s">
        <v>2596</v>
      </c>
      <c r="AG43" s="158"/>
      <c r="AH43" s="159"/>
      <c r="AI43" s="161"/>
      <c r="AJ43" s="161"/>
      <c r="AK43" s="545" t="str">
        <f t="shared" si="2"/>
        <v/>
      </c>
      <c r="AL43" s="546" t="str">
        <f t="shared" si="3"/>
        <v/>
      </c>
      <c r="AM43" s="547"/>
      <c r="AN43" s="551" t="str">
        <f>IFERROR(VLOOKUP(K43,【参考】数式用!$A$2:$N$57,14,FALSE),"")</f>
        <v>加算対象</v>
      </c>
      <c r="AO43" s="551" t="str">
        <f t="shared" si="4"/>
        <v>N列に色付け</v>
      </c>
      <c r="AP43" s="550" t="str">
        <f t="shared" si="5"/>
        <v>入力済</v>
      </c>
      <c r="AQ43" s="550" t="str">
        <f t="shared" si="6"/>
        <v>入力済</v>
      </c>
      <c r="AR43" s="551" t="str">
        <f t="shared" si="7"/>
        <v>AF列に色付け</v>
      </c>
      <c r="AS43" s="550" t="str">
        <f t="shared" si="8"/>
        <v>入力済</v>
      </c>
      <c r="AT43" s="550" t="str">
        <f t="shared" si="9"/>
        <v/>
      </c>
      <c r="AU43" s="550" t="str">
        <f t="shared" si="29"/>
        <v/>
      </c>
      <c r="AV43" s="551" t="str">
        <f t="shared" si="11"/>
        <v/>
      </c>
      <c r="AW43" s="551" t="str">
        <f t="shared" si="12"/>
        <v>入力済</v>
      </c>
      <c r="AX43" s="550" t="str">
        <f>IFERROR(VLOOKUP(K43,【参考】数式用!$AR$3:$AS$49,2, FALSE), "")</f>
        <v>介護予防認知症対応型共同生活介護_短期利用型_Ⅴ</v>
      </c>
      <c r="AY43" s="551" t="str">
        <f t="shared" si="13"/>
        <v/>
      </c>
      <c r="AZ43" s="551" t="str">
        <f t="shared" si="14"/>
        <v>入力済</v>
      </c>
      <c r="BA43" s="550" t="str">
        <f>IFERROR(VLOOKUP(K43,【参考】数式用!$AX$3:$AY$56, 2, FALSE), "")</f>
        <v>介護予防認知症対応型共同生活介護_短期利用型_R8</v>
      </c>
      <c r="BB43" s="551" t="str">
        <f t="shared" si="0"/>
        <v/>
      </c>
      <c r="BC43" s="551" t="str">
        <f t="shared" si="15"/>
        <v>入力済</v>
      </c>
      <c r="BD43" s="551" t="str">
        <f t="shared" si="17"/>
        <v/>
      </c>
      <c r="BE43" s="551" t="str">
        <f t="shared" si="1"/>
        <v>笠間市</v>
      </c>
      <c r="BF43" s="516"/>
      <c r="BG43" s="516"/>
      <c r="BH43" s="516"/>
      <c r="BI43" s="516"/>
      <c r="BJ43" s="516"/>
      <c r="BK43" s="516"/>
      <c r="BL43" s="516"/>
      <c r="BM43" s="516"/>
      <c r="BN43" s="516"/>
      <c r="BO43" s="517"/>
    </row>
    <row r="44" spans="1:67" s="518" customFormat="1" ht="109.95" customHeight="1" thickBot="1">
      <c r="A44" s="456">
        <v>33</v>
      </c>
      <c r="B44" s="724" t="str">
        <f>IF(基本情報入力シート!B72="","",基本情報入力シート!B72)</f>
        <v>0811111124</v>
      </c>
      <c r="C44" s="725"/>
      <c r="D44" s="725"/>
      <c r="E44" s="725"/>
      <c r="F44" s="726"/>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IF(基本情報入力シート!AG72="","",基本情報入力シート!AG72)</f>
        <v>10.45</v>
      </c>
      <c r="N44" s="136" t="s">
        <v>2593</v>
      </c>
      <c r="O44" s="155">
        <f>IFERROR(VLOOKUP(K44,【参考】数式用!$A$2:$F$57,MATCH(N44,【参考】数式用!$C$3:$F$3,0)+2,0),"")</f>
        <v>0.14000000000000001</v>
      </c>
      <c r="P44" s="458" t="s">
        <v>180</v>
      </c>
      <c r="Q44" s="141">
        <v>8</v>
      </c>
      <c r="R44" s="459" t="s">
        <v>271</v>
      </c>
      <c r="S44" s="141">
        <v>4</v>
      </c>
      <c r="T44" s="459" t="s">
        <v>272</v>
      </c>
      <c r="U44" s="141">
        <v>8</v>
      </c>
      <c r="V44" s="459" t="s">
        <v>271</v>
      </c>
      <c r="W44" s="141">
        <v>5</v>
      </c>
      <c r="X44" s="459" t="s">
        <v>182</v>
      </c>
      <c r="Y44" s="459" t="s">
        <v>274</v>
      </c>
      <c r="Z44" s="459">
        <f t="shared" si="16"/>
        <v>2</v>
      </c>
      <c r="AA44" s="460" t="s">
        <v>275</v>
      </c>
      <c r="AB44" s="461">
        <f t="shared" si="28"/>
        <v>2528064</v>
      </c>
      <c r="AC44" s="462">
        <f>IFERROR(ROUNDDOWN(ROUNDDOWN(ROUND(L44*VLOOKUP(K44,【参考】数式用!$A$4:$F$57,MATCH("処遇改善加算Ⅳ",【参考】数式用!$C$3:$F$3,0)+2,0),0)*M44,0)*Z44*0.5,0), "")</f>
        <v>812592</v>
      </c>
      <c r="AD44" s="156" t="s">
        <v>2596</v>
      </c>
      <c r="AE44" s="157" t="s">
        <v>2596</v>
      </c>
      <c r="AF44" s="157" t="s">
        <v>2596</v>
      </c>
      <c r="AG44" s="158">
        <v>1</v>
      </c>
      <c r="AH44" s="159"/>
      <c r="AI44" s="161" t="s">
        <v>402</v>
      </c>
      <c r="AJ44" s="161"/>
      <c r="AK44" s="545" t="str">
        <f t="shared" si="2"/>
        <v/>
      </c>
      <c r="AL44" s="546" t="str">
        <f t="shared" si="3"/>
        <v/>
      </c>
      <c r="AM44" s="547"/>
      <c r="AN44" s="551" t="str">
        <f>IFERROR(VLOOKUP(K44,【参考】数式用!$A$2:$N$57,14,FALSE),"")</f>
        <v>加算対象</v>
      </c>
      <c r="AO44" s="551" t="str">
        <f t="shared" si="4"/>
        <v>N列に色付け</v>
      </c>
      <c r="AP44" s="550" t="str">
        <f t="shared" si="5"/>
        <v>入力済</v>
      </c>
      <c r="AQ44" s="550" t="str">
        <f t="shared" si="6"/>
        <v>入力済</v>
      </c>
      <c r="AR44" s="551" t="str">
        <f t="shared" si="7"/>
        <v>AF列に色付け</v>
      </c>
      <c r="AS44" s="550" t="str">
        <f t="shared" si="8"/>
        <v>入力済</v>
      </c>
      <c r="AT44" s="550" t="str">
        <f t="shared" si="9"/>
        <v>対象</v>
      </c>
      <c r="AU44" s="550">
        <f t="shared" si="29"/>
        <v>1</v>
      </c>
      <c r="AV44" s="551" t="str">
        <f t="shared" si="11"/>
        <v/>
      </c>
      <c r="AW44" s="551" t="str">
        <f t="shared" si="12"/>
        <v>入力済</v>
      </c>
      <c r="AX44" s="550" t="str">
        <f>IFERROR(VLOOKUP(K44,【参考】数式用!$AR$3:$AS$49,2, FALSE), "")</f>
        <v>介護老人福祉施設サービスⅤ</v>
      </c>
      <c r="AY44" s="551" t="str">
        <f t="shared" si="13"/>
        <v>AI列に色付け</v>
      </c>
      <c r="AZ44" s="551" t="str">
        <f t="shared" si="14"/>
        <v>入力済</v>
      </c>
      <c r="BA44" s="550" t="str">
        <f>IFERROR(VLOOKUP(K44,【参考】数式用!$AX$3:$AY$56, 2, FALSE), "")</f>
        <v>介護老人福祉施設サービスR8</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茨城県</v>
      </c>
      <c r="BF44" s="516"/>
      <c r="BG44" s="516"/>
      <c r="BH44" s="516"/>
      <c r="BI44" s="516"/>
      <c r="BJ44" s="516"/>
      <c r="BK44" s="516"/>
      <c r="BL44" s="516"/>
      <c r="BM44" s="516"/>
      <c r="BN44" s="516"/>
      <c r="BO44" s="517"/>
    </row>
    <row r="45" spans="1:67" s="518" customFormat="1" ht="109.95" customHeight="1" thickBot="1">
      <c r="A45" s="456">
        <v>34</v>
      </c>
      <c r="B45" s="724" t="str">
        <f>IF(基本情報入力シート!B73="","",基本情報入力シート!B73)</f>
        <v>0811111125</v>
      </c>
      <c r="C45" s="725"/>
      <c r="D45" s="725"/>
      <c r="E45" s="725"/>
      <c r="F45" s="726"/>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IF(基本情報入力シート!AG73="","",基本情報入力シート!AG73)</f>
        <v>10.54</v>
      </c>
      <c r="N45" s="136" t="s">
        <v>367</v>
      </c>
      <c r="O45" s="155">
        <f>IFERROR(VLOOKUP(K45,【参考】数式用!$A$2:$F$57,MATCH(N45,【参考】数式用!$C$3:$F$3,0)+2,0),"")</f>
        <v>0.14000000000000001</v>
      </c>
      <c r="P45" s="458" t="s">
        <v>180</v>
      </c>
      <c r="Q45" s="141">
        <v>8</v>
      </c>
      <c r="R45" s="459" t="s">
        <v>271</v>
      </c>
      <c r="S45" s="141">
        <v>4</v>
      </c>
      <c r="T45" s="459" t="s">
        <v>272</v>
      </c>
      <c r="U45" s="141">
        <v>8</v>
      </c>
      <c r="V45" s="459" t="s">
        <v>271</v>
      </c>
      <c r="W45" s="141">
        <v>5</v>
      </c>
      <c r="X45" s="459" t="s">
        <v>273</v>
      </c>
      <c r="Y45" s="459" t="s">
        <v>274</v>
      </c>
      <c r="Z45" s="459">
        <f t="shared" si="16"/>
        <v>2</v>
      </c>
      <c r="AA45" s="460" t="s">
        <v>275</v>
      </c>
      <c r="AB45" s="461">
        <f t="shared" si="28"/>
        <v>2549836</v>
      </c>
      <c r="AC45" s="462">
        <f>IFERROR(ROUNDDOWN(ROUNDDOWN(ROUND(L45*VLOOKUP(K45,【参考】数式用!$A$4:$F$57,MATCH("処遇改善加算Ⅳ",【参考】数式用!$C$3:$F$3,0)+2,0),0)*M45,0)*Z45*0.5,0), "")</f>
        <v>819590</v>
      </c>
      <c r="AD45" s="156" t="s">
        <v>2596</v>
      </c>
      <c r="AE45" s="157" t="s">
        <v>2596</v>
      </c>
      <c r="AF45" s="157" t="s">
        <v>2596</v>
      </c>
      <c r="AG45" s="158">
        <v>1</v>
      </c>
      <c r="AH45" s="159"/>
      <c r="AI45" s="161" t="s">
        <v>403</v>
      </c>
      <c r="AJ45" s="161"/>
      <c r="AK45" s="545" t="str">
        <f t="shared" si="2"/>
        <v/>
      </c>
      <c r="AL45" s="546" t="str">
        <f t="shared" si="3"/>
        <v/>
      </c>
      <c r="AM45" s="547"/>
      <c r="AN45" s="551" t="str">
        <f>IFERROR(VLOOKUP(K45,【参考】数式用!$A$2:$N$57,14,FALSE),"")</f>
        <v>加算対象</v>
      </c>
      <c r="AO45" s="551" t="str">
        <f t="shared" si="4"/>
        <v>N列に色付け</v>
      </c>
      <c r="AP45" s="550" t="str">
        <f t="shared" si="5"/>
        <v>入力済</v>
      </c>
      <c r="AQ45" s="550" t="str">
        <f t="shared" si="6"/>
        <v>入力済</v>
      </c>
      <c r="AR45" s="551" t="str">
        <f t="shared" si="7"/>
        <v>AF列に色付け</v>
      </c>
      <c r="AS45" s="550" t="str">
        <f t="shared" si="8"/>
        <v>入力済</v>
      </c>
      <c r="AT45" s="550" t="str">
        <f t="shared" si="9"/>
        <v>対象</v>
      </c>
      <c r="AU45" s="550">
        <f t="shared" si="29"/>
        <v>1</v>
      </c>
      <c r="AV45" s="551" t="str">
        <f t="shared" si="11"/>
        <v/>
      </c>
      <c r="AW45" s="551" t="str">
        <f t="shared" si="12"/>
        <v>入力済</v>
      </c>
      <c r="AX45" s="550" t="str">
        <f>IFERROR(VLOOKUP(K45,【参考】数式用!$AR$3:$AS$49,2, FALSE), "")</f>
        <v>地域密着型介護老人福祉施設Ⅴ</v>
      </c>
      <c r="AY45" s="551" t="str">
        <f t="shared" si="13"/>
        <v>AI列に色付け</v>
      </c>
      <c r="AZ45" s="551" t="str">
        <f t="shared" si="14"/>
        <v>入力済</v>
      </c>
      <c r="BA45" s="550" t="str">
        <f>IFERROR(VLOOKUP(K45,【参考】数式用!$AX$3:$AY$56, 2, FALSE), "")</f>
        <v>地域密着型介護老人福祉施設R8</v>
      </c>
      <c r="BB45" s="551" t="str">
        <f t="shared" si="30"/>
        <v/>
      </c>
      <c r="BC45" s="551" t="str">
        <f t="shared" si="31"/>
        <v>入力済</v>
      </c>
      <c r="BD45" s="551" t="str">
        <f t="shared" si="17"/>
        <v/>
      </c>
      <c r="BE45" s="551" t="str">
        <f t="shared" si="32"/>
        <v>牛久市</v>
      </c>
      <c r="BF45" s="516"/>
      <c r="BG45" s="516"/>
      <c r="BH45" s="516"/>
      <c r="BI45" s="516"/>
      <c r="BJ45" s="516"/>
      <c r="BK45" s="516"/>
      <c r="BL45" s="516"/>
      <c r="BM45" s="516"/>
      <c r="BN45" s="516"/>
      <c r="BO45" s="517"/>
    </row>
    <row r="46" spans="1:67" s="518" customFormat="1" ht="109.95" customHeight="1" thickBot="1">
      <c r="A46" s="456">
        <v>35</v>
      </c>
      <c r="B46" s="724" t="str">
        <f>IF(基本情報入力シート!B74="","",基本情報入力シート!B74)</f>
        <v>0811111126</v>
      </c>
      <c r="C46" s="725"/>
      <c r="D46" s="725"/>
      <c r="E46" s="725"/>
      <c r="F46" s="726"/>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IF(基本情報入力シート!AG74="","",基本情報入力シート!AG74)</f>
        <v>10.55</v>
      </c>
      <c r="N46" s="136" t="s">
        <v>367</v>
      </c>
      <c r="O46" s="155">
        <f>IFERROR(VLOOKUP(K46,【参考】数式用!$A$2:$F$57,MATCH(N46,【参考】数式用!$C$3:$F$3,0)+2,0),"")</f>
        <v>0.14000000000000001</v>
      </c>
      <c r="P46" s="458" t="s">
        <v>180</v>
      </c>
      <c r="Q46" s="141">
        <v>8</v>
      </c>
      <c r="R46" s="459" t="s">
        <v>271</v>
      </c>
      <c r="S46" s="141">
        <v>4</v>
      </c>
      <c r="T46" s="459" t="s">
        <v>272</v>
      </c>
      <c r="U46" s="141">
        <v>8</v>
      </c>
      <c r="V46" s="459" t="s">
        <v>271</v>
      </c>
      <c r="W46" s="141">
        <v>5</v>
      </c>
      <c r="X46" s="459" t="s">
        <v>273</v>
      </c>
      <c r="Y46" s="459" t="s">
        <v>274</v>
      </c>
      <c r="Z46" s="459">
        <f t="shared" si="16"/>
        <v>2</v>
      </c>
      <c r="AA46" s="460" t="s">
        <v>275</v>
      </c>
      <c r="AB46" s="461">
        <f t="shared" si="28"/>
        <v>2552256</v>
      </c>
      <c r="AC46" s="462">
        <f>IFERROR(ROUNDDOWN(ROUNDDOWN(ROUND(L46*VLOOKUP(K46,【参考】数式用!$A$4:$F$57,MATCH("処遇改善加算Ⅳ",【参考】数式用!$C$3:$F$3,0)+2,0),0)*M46,0)*Z46*0.5,0), "")</f>
        <v>820368</v>
      </c>
      <c r="AD46" s="156" t="s">
        <v>2596</v>
      </c>
      <c r="AE46" s="157" t="s">
        <v>2596</v>
      </c>
      <c r="AF46" s="157" t="s">
        <v>2596</v>
      </c>
      <c r="AG46" s="158">
        <v>1</v>
      </c>
      <c r="AH46" s="159"/>
      <c r="AI46" s="161" t="s">
        <v>628</v>
      </c>
      <c r="AJ46" s="161"/>
      <c r="AK46" s="545" t="str">
        <f t="shared" si="2"/>
        <v/>
      </c>
      <c r="AL46" s="546" t="str">
        <f t="shared" si="3"/>
        <v/>
      </c>
      <c r="AM46" s="547"/>
      <c r="AN46" s="551" t="str">
        <f>IFERROR(VLOOKUP(K46,【参考】数式用!$A$2:$N$57,14,FALSE),"")</f>
        <v>加算対象</v>
      </c>
      <c r="AO46" s="551" t="str">
        <f t="shared" si="4"/>
        <v>N列に色付け</v>
      </c>
      <c r="AP46" s="550" t="str">
        <f t="shared" si="5"/>
        <v>入力済</v>
      </c>
      <c r="AQ46" s="550" t="str">
        <f t="shared" si="6"/>
        <v>入力済</v>
      </c>
      <c r="AR46" s="551" t="str">
        <f t="shared" si="7"/>
        <v>AF列に色付け</v>
      </c>
      <c r="AS46" s="550" t="str">
        <f t="shared" si="8"/>
        <v>入力済</v>
      </c>
      <c r="AT46" s="550" t="str">
        <f t="shared" si="9"/>
        <v>対象</v>
      </c>
      <c r="AU46" s="550">
        <f t="shared" si="29"/>
        <v>1</v>
      </c>
      <c r="AV46" s="551" t="str">
        <f t="shared" si="11"/>
        <v/>
      </c>
      <c r="AW46" s="551" t="str">
        <f t="shared" si="12"/>
        <v>入力済</v>
      </c>
      <c r="AX46" s="550" t="str">
        <f>IFERROR(VLOOKUP(K46,【参考】数式用!$AR$3:$AS$49,2, FALSE), "")</f>
        <v>短期入所生活介護Ⅴ</v>
      </c>
      <c r="AY46" s="551" t="str">
        <f t="shared" si="13"/>
        <v>AI列に色付け</v>
      </c>
      <c r="AZ46" s="551" t="str">
        <f t="shared" si="14"/>
        <v>入力済</v>
      </c>
      <c r="BA46" s="550" t="str">
        <f>IFERROR(VLOOKUP(K46,【参考】数式用!$AX$3:$AY$56, 2, FALSE), "")</f>
        <v>短期入所生活介護R8</v>
      </c>
      <c r="BB46" s="551" t="str">
        <f t="shared" si="30"/>
        <v/>
      </c>
      <c r="BC46" s="551" t="str">
        <f t="shared" si="31"/>
        <v>入力済</v>
      </c>
      <c r="BD46" s="551" t="str">
        <f t="shared" si="17"/>
        <v/>
      </c>
      <c r="BE46" s="551" t="str">
        <f t="shared" si="32"/>
        <v>つくば市</v>
      </c>
      <c r="BF46" s="516"/>
      <c r="BG46" s="516"/>
      <c r="BH46" s="516"/>
      <c r="BI46" s="516"/>
      <c r="BJ46" s="516"/>
      <c r="BK46" s="516"/>
      <c r="BL46" s="516"/>
      <c r="BM46" s="516"/>
      <c r="BN46" s="516"/>
      <c r="BO46" s="517"/>
    </row>
    <row r="47" spans="1:67" s="518" customFormat="1" ht="109.95" customHeight="1" thickBot="1">
      <c r="A47" s="456">
        <v>36</v>
      </c>
      <c r="B47" s="724" t="str">
        <f>IF(基本情報入力シート!B75="","",基本情報入力シート!B75)</f>
        <v>0811111126</v>
      </c>
      <c r="C47" s="725"/>
      <c r="D47" s="725"/>
      <c r="E47" s="725"/>
      <c r="F47" s="726"/>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IF(基本情報入力シート!AG75="","",基本情報入力シート!AG75)</f>
        <v>10.55</v>
      </c>
      <c r="N47" s="136" t="s">
        <v>367</v>
      </c>
      <c r="O47" s="155">
        <f>IFERROR(VLOOKUP(K47,【参考】数式用!$A$2:$F$57,MATCH(N47,【参考】数式用!$C$3:$F$3,0)+2,0),"")</f>
        <v>0.14000000000000001</v>
      </c>
      <c r="P47" s="458" t="s">
        <v>180</v>
      </c>
      <c r="Q47" s="141">
        <v>8</v>
      </c>
      <c r="R47" s="459" t="s">
        <v>271</v>
      </c>
      <c r="S47" s="141">
        <v>4</v>
      </c>
      <c r="T47" s="459" t="s">
        <v>272</v>
      </c>
      <c r="U47" s="141">
        <v>8</v>
      </c>
      <c r="V47" s="459" t="s">
        <v>271</v>
      </c>
      <c r="W47" s="141">
        <v>5</v>
      </c>
      <c r="X47" s="459" t="s">
        <v>273</v>
      </c>
      <c r="Y47" s="459" t="s">
        <v>274</v>
      </c>
      <c r="Z47" s="459">
        <f t="shared" si="16"/>
        <v>2</v>
      </c>
      <c r="AA47" s="460" t="s">
        <v>275</v>
      </c>
      <c r="AB47" s="461">
        <f t="shared" si="28"/>
        <v>2552256</v>
      </c>
      <c r="AC47" s="462">
        <f>IFERROR(ROUNDDOWN(ROUNDDOWN(ROUND(L47*VLOOKUP(K47,【参考】数式用!$A$4:$F$57,MATCH("処遇改善加算Ⅳ",【参考】数式用!$C$3:$F$3,0)+2,0),0)*M47,0)*Z47*0.5,0), "")</f>
        <v>820368</v>
      </c>
      <c r="AD47" s="156" t="s">
        <v>2596</v>
      </c>
      <c r="AE47" s="157" t="s">
        <v>2596</v>
      </c>
      <c r="AF47" s="157" t="s">
        <v>2596</v>
      </c>
      <c r="AG47" s="158">
        <v>1</v>
      </c>
      <c r="AH47" s="159"/>
      <c r="AI47" s="161" t="s">
        <v>628</v>
      </c>
      <c r="AJ47" s="161"/>
      <c r="AK47" s="545" t="str">
        <f t="shared" si="2"/>
        <v/>
      </c>
      <c r="AL47" s="546" t="str">
        <f t="shared" si="3"/>
        <v/>
      </c>
      <c r="AM47" s="547"/>
      <c r="AN47" s="551" t="str">
        <f>IFERROR(VLOOKUP(K47,【参考】数式用!$A$2:$N$57,14,FALSE),"")</f>
        <v>加算対象</v>
      </c>
      <c r="AO47" s="551" t="str">
        <f t="shared" si="4"/>
        <v>N列に色付け</v>
      </c>
      <c r="AP47" s="550" t="str">
        <f t="shared" si="5"/>
        <v>入力済</v>
      </c>
      <c r="AQ47" s="550" t="str">
        <f t="shared" si="6"/>
        <v>入力済</v>
      </c>
      <c r="AR47" s="551" t="str">
        <f t="shared" si="7"/>
        <v>AF列に色付け</v>
      </c>
      <c r="AS47" s="550" t="str">
        <f t="shared" si="8"/>
        <v>入力済</v>
      </c>
      <c r="AT47" s="550" t="str">
        <f t="shared" si="9"/>
        <v>対象</v>
      </c>
      <c r="AU47" s="550">
        <f t="shared" si="29"/>
        <v>1</v>
      </c>
      <c r="AV47" s="551" t="str">
        <f t="shared" si="11"/>
        <v/>
      </c>
      <c r="AW47" s="551" t="str">
        <f t="shared" si="12"/>
        <v>入力済</v>
      </c>
      <c r="AX47" s="550" t="str">
        <f>IFERROR(VLOOKUP(K47,【参考】数式用!$AR$3:$AS$49,2, FALSE), "")</f>
        <v>介護予防短期入所生活介護Ⅴ</v>
      </c>
      <c r="AY47" s="551" t="str">
        <f t="shared" si="13"/>
        <v>AI列に色付け</v>
      </c>
      <c r="AZ47" s="551" t="str">
        <f t="shared" si="14"/>
        <v>入力済</v>
      </c>
      <c r="BA47" s="550" t="str">
        <f>IFERROR(VLOOKUP(K47,【参考】数式用!$AX$3:$AY$56, 2, FALSE), "")</f>
        <v>介護予防短期入所生活介護R8</v>
      </c>
      <c r="BB47" s="551" t="str">
        <f t="shared" si="30"/>
        <v/>
      </c>
      <c r="BC47" s="551" t="str">
        <f t="shared" si="31"/>
        <v>入力済</v>
      </c>
      <c r="BD47" s="551" t="str">
        <f t="shared" si="17"/>
        <v/>
      </c>
      <c r="BE47" s="551" t="str">
        <f t="shared" si="32"/>
        <v>つくば市</v>
      </c>
      <c r="BF47" s="516"/>
      <c r="BG47" s="516"/>
      <c r="BH47" s="516"/>
      <c r="BI47" s="516"/>
      <c r="BJ47" s="516"/>
      <c r="BK47" s="516"/>
      <c r="BL47" s="516"/>
      <c r="BM47" s="516"/>
      <c r="BN47" s="516"/>
      <c r="BO47" s="517"/>
    </row>
    <row r="48" spans="1:67" s="518" customFormat="1" ht="109.95" customHeight="1" thickBot="1">
      <c r="A48" s="456">
        <v>37</v>
      </c>
      <c r="B48" s="724" t="str">
        <f>IF(基本情報入力シート!B76="","",基本情報入力シート!B76)</f>
        <v>0811111127</v>
      </c>
      <c r="C48" s="725"/>
      <c r="D48" s="725"/>
      <c r="E48" s="725"/>
      <c r="F48" s="726"/>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IF(基本情報入力シート!AG76="","",基本情報入力シート!AG76)</f>
        <v>10.14</v>
      </c>
      <c r="N48" s="136" t="s">
        <v>367</v>
      </c>
      <c r="O48" s="155">
        <f>IFERROR(VLOOKUP(K48,【参考】数式用!$A$2:$F$57,MATCH(N48,【参考】数式用!$C$3:$F$3,0)+2,0),"")</f>
        <v>7.5000000000000011E-2</v>
      </c>
      <c r="P48" s="458" t="s">
        <v>180</v>
      </c>
      <c r="Q48" s="141">
        <v>8</v>
      </c>
      <c r="R48" s="459" t="s">
        <v>271</v>
      </c>
      <c r="S48" s="141">
        <v>4</v>
      </c>
      <c r="T48" s="459" t="s">
        <v>272</v>
      </c>
      <c r="U48" s="141">
        <v>8</v>
      </c>
      <c r="V48" s="459" t="s">
        <v>271</v>
      </c>
      <c r="W48" s="141">
        <v>5</v>
      </c>
      <c r="X48" s="459" t="s">
        <v>182</v>
      </c>
      <c r="Y48" s="459" t="s">
        <v>274</v>
      </c>
      <c r="Z48" s="459">
        <f t="shared" si="16"/>
        <v>2</v>
      </c>
      <c r="AA48" s="460" t="s">
        <v>275</v>
      </c>
      <c r="AB48" s="461">
        <f t="shared" si="28"/>
        <v>1413008</v>
      </c>
      <c r="AC48" s="462">
        <f>IFERROR(ROUNDDOWN(ROUNDDOWN(ROUND(L48*VLOOKUP(K48,【参考】数式用!$A$4:$F$57,MATCH("処遇改善加算Ⅳ",【参考】数式用!$C$3:$F$3,0)+2,0),0)*M48,0)*Z48*0.5,0), "")</f>
        <v>414482</v>
      </c>
      <c r="AD48" s="156" t="s">
        <v>2596</v>
      </c>
      <c r="AE48" s="157" t="s">
        <v>2596</v>
      </c>
      <c r="AF48" s="157" t="s">
        <v>2596</v>
      </c>
      <c r="AG48" s="158">
        <v>1</v>
      </c>
      <c r="AH48" s="159"/>
      <c r="AI48" s="161" t="s">
        <v>402</v>
      </c>
      <c r="AJ48" s="161"/>
      <c r="AK48" s="545" t="str">
        <f t="shared" si="2"/>
        <v/>
      </c>
      <c r="AL48" s="546" t="str">
        <f t="shared" si="3"/>
        <v/>
      </c>
      <c r="AM48" s="547"/>
      <c r="AN48" s="551" t="str">
        <f>IFERROR(VLOOKUP(K48,【参考】数式用!$A$2:$N$57,14,FALSE),"")</f>
        <v>加算対象</v>
      </c>
      <c r="AO48" s="551" t="str">
        <f t="shared" si="4"/>
        <v>N列に色付け</v>
      </c>
      <c r="AP48" s="550" t="str">
        <f t="shared" si="5"/>
        <v>入力済</v>
      </c>
      <c r="AQ48" s="550" t="str">
        <f t="shared" si="6"/>
        <v>入力済</v>
      </c>
      <c r="AR48" s="551" t="str">
        <f t="shared" si="7"/>
        <v>AF列に色付け</v>
      </c>
      <c r="AS48" s="550" t="str">
        <f t="shared" si="8"/>
        <v>入力済</v>
      </c>
      <c r="AT48" s="550" t="str">
        <f t="shared" si="9"/>
        <v>対象</v>
      </c>
      <c r="AU48" s="550">
        <f t="shared" si="29"/>
        <v>1</v>
      </c>
      <c r="AV48" s="551" t="str">
        <f t="shared" si="11"/>
        <v/>
      </c>
      <c r="AW48" s="551" t="str">
        <f t="shared" si="12"/>
        <v>入力済</v>
      </c>
      <c r="AX48" s="550" t="str">
        <f>IFERROR(VLOOKUP(K48,【参考】数式用!$AR$3:$AS$49,2, FALSE), "")</f>
        <v>介護老人保健施設サービスⅤ</v>
      </c>
      <c r="AY48" s="551" t="str">
        <f t="shared" si="13"/>
        <v>AI列に色付け</v>
      </c>
      <c r="AZ48" s="551" t="str">
        <f t="shared" si="14"/>
        <v>入力済</v>
      </c>
      <c r="BA48" s="550" t="str">
        <f>IFERROR(VLOOKUP(K48,【参考】数式用!$AX$3:$AY$56, 2, FALSE), "")</f>
        <v>介護老人保健施設サービスR8</v>
      </c>
      <c r="BB48" s="551" t="str">
        <f t="shared" si="30"/>
        <v/>
      </c>
      <c r="BC48" s="551" t="str">
        <f t="shared" si="31"/>
        <v>入力済</v>
      </c>
      <c r="BD48" s="551" t="str">
        <f t="shared" si="17"/>
        <v/>
      </c>
      <c r="BE48" s="551" t="str">
        <f t="shared" si="32"/>
        <v>茨城県</v>
      </c>
      <c r="BF48" s="516"/>
      <c r="BG48" s="516"/>
      <c r="BH48" s="516"/>
      <c r="BI48" s="516"/>
      <c r="BJ48" s="516"/>
      <c r="BK48" s="516"/>
      <c r="BL48" s="516"/>
      <c r="BM48" s="516"/>
      <c r="BN48" s="516"/>
      <c r="BO48" s="517"/>
    </row>
    <row r="49" spans="1:67" s="518" customFormat="1" ht="109.95" customHeight="1" thickBot="1">
      <c r="A49" s="456">
        <v>38</v>
      </c>
      <c r="B49" s="724" t="str">
        <f>IF(基本情報入力シート!B77="","",基本情報入力シート!B77)</f>
        <v>0811111127</v>
      </c>
      <c r="C49" s="725"/>
      <c r="D49" s="725"/>
      <c r="E49" s="725"/>
      <c r="F49" s="726"/>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IF(基本情報入力シート!AG77="","",基本情報入力シート!AG77)</f>
        <v>10.14</v>
      </c>
      <c r="N49" s="136" t="s">
        <v>367</v>
      </c>
      <c r="O49" s="155">
        <f>IFERROR(VLOOKUP(K49,【参考】数式用!$A$2:$F$57,MATCH(N49,【参考】数式用!$C$3:$F$3,0)+2,0),"")</f>
        <v>7.5000000000000011E-2</v>
      </c>
      <c r="P49" s="458" t="s">
        <v>180</v>
      </c>
      <c r="Q49" s="141">
        <v>8</v>
      </c>
      <c r="R49" s="459" t="s">
        <v>271</v>
      </c>
      <c r="S49" s="141">
        <v>4</v>
      </c>
      <c r="T49" s="459" t="s">
        <v>272</v>
      </c>
      <c r="U49" s="141">
        <v>8</v>
      </c>
      <c r="V49" s="459" t="s">
        <v>271</v>
      </c>
      <c r="W49" s="141">
        <v>5</v>
      </c>
      <c r="X49" s="459" t="s">
        <v>273</v>
      </c>
      <c r="Y49" s="459" t="s">
        <v>274</v>
      </c>
      <c r="Z49" s="459">
        <f t="shared" si="16"/>
        <v>2</v>
      </c>
      <c r="AA49" s="460" t="s">
        <v>275</v>
      </c>
      <c r="AB49" s="461">
        <f t="shared" si="28"/>
        <v>1413008</v>
      </c>
      <c r="AC49" s="462">
        <f>IFERROR(ROUNDDOWN(ROUNDDOWN(ROUND(L49*VLOOKUP(K49,【参考】数式用!$A$4:$F$57,MATCH("処遇改善加算Ⅳ",【参考】数式用!$C$3:$F$3,0)+2,0),0)*M49,0)*Z49*0.5,0), "")</f>
        <v>414482</v>
      </c>
      <c r="AD49" s="156" t="s">
        <v>2596</v>
      </c>
      <c r="AE49" s="157" t="s">
        <v>2596</v>
      </c>
      <c r="AF49" s="157" t="s">
        <v>2596</v>
      </c>
      <c r="AG49" s="158">
        <v>1</v>
      </c>
      <c r="AH49" s="159"/>
      <c r="AI49" s="161" t="s">
        <v>657</v>
      </c>
      <c r="AJ49" s="161"/>
      <c r="AK49" s="545" t="str">
        <f t="shared" si="2"/>
        <v/>
      </c>
      <c r="AL49" s="546" t="str">
        <f t="shared" si="3"/>
        <v/>
      </c>
      <c r="AM49" s="547"/>
      <c r="AN49" s="551" t="str">
        <f>IFERROR(VLOOKUP(K49,【参考】数式用!$A$2:$N$57,14,FALSE),"")</f>
        <v>加算対象</v>
      </c>
      <c r="AO49" s="551" t="str">
        <f t="shared" si="4"/>
        <v>N列に色付け</v>
      </c>
      <c r="AP49" s="550" t="str">
        <f t="shared" si="5"/>
        <v>入力済</v>
      </c>
      <c r="AQ49" s="550" t="str">
        <f t="shared" si="6"/>
        <v>入力済</v>
      </c>
      <c r="AR49" s="551" t="str">
        <f t="shared" si="7"/>
        <v>AF列に色付け</v>
      </c>
      <c r="AS49" s="550" t="str">
        <f t="shared" si="8"/>
        <v>入力済</v>
      </c>
      <c r="AT49" s="550" t="str">
        <f t="shared" si="9"/>
        <v>対象</v>
      </c>
      <c r="AU49" s="550">
        <f t="shared" si="29"/>
        <v>1</v>
      </c>
      <c r="AV49" s="551" t="str">
        <f t="shared" si="11"/>
        <v/>
      </c>
      <c r="AW49" s="551" t="str">
        <f t="shared" si="12"/>
        <v>入力済</v>
      </c>
      <c r="AX49" s="550" t="str">
        <f>IFERROR(VLOOKUP(K49,【参考】数式用!$AR$3:$AS$49,2, FALSE), "")</f>
        <v>短期入所療養介護_介護老人保健施設_Ⅴ</v>
      </c>
      <c r="AY49" s="551" t="str">
        <f t="shared" si="13"/>
        <v>AI列に色付け</v>
      </c>
      <c r="AZ49" s="551" t="str">
        <f>IF(AND(N49="処遇改善加算Ⅰ", AI49=""), "未入力","入力済")</f>
        <v>入力済</v>
      </c>
      <c r="BA49" s="550" t="str">
        <f>IFERROR(VLOOKUP(K49,【参考】数式用!$AX$3:$AY$56, 2, FALSE), "")</f>
        <v>短期入所療養介護_介護老人保健施設_R8</v>
      </c>
      <c r="BB49" s="551" t="str">
        <f t="shared" si="30"/>
        <v/>
      </c>
      <c r="BC49" s="551" t="str">
        <f>IF(AND(COUNTIF(AE49:AH49,"*令和８年度特例要件を*")&gt;0,AJ49=""), "未入力","入力済")</f>
        <v>入力済</v>
      </c>
      <c r="BD49" s="551" t="str">
        <f t="shared" si="17"/>
        <v/>
      </c>
      <c r="BE49" s="551" t="str">
        <f t="shared" si="32"/>
        <v>茨城県</v>
      </c>
      <c r="BF49" s="516"/>
      <c r="BG49" s="516"/>
      <c r="BH49" s="516"/>
      <c r="BI49" s="516"/>
      <c r="BJ49" s="516"/>
      <c r="BK49" s="516"/>
      <c r="BL49" s="516"/>
      <c r="BM49" s="516"/>
      <c r="BN49" s="516"/>
      <c r="BO49" s="517"/>
    </row>
    <row r="50" spans="1:67" s="518" customFormat="1" ht="109.95" customHeight="1" thickBot="1">
      <c r="A50" s="456">
        <v>39</v>
      </c>
      <c r="B50" s="724" t="str">
        <f>IF(基本情報入力シート!B78="","",基本情報入力シート!B78)</f>
        <v>0811111127</v>
      </c>
      <c r="C50" s="725"/>
      <c r="D50" s="725"/>
      <c r="E50" s="725"/>
      <c r="F50" s="726"/>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IF(基本情報入力シート!AG78="","",基本情報入力シート!AG78)</f>
        <v>10.14</v>
      </c>
      <c r="N50" s="136" t="s">
        <v>367</v>
      </c>
      <c r="O50" s="155">
        <f>IFERROR(VLOOKUP(K50,【参考】数式用!$A$2:$F$57,MATCH(N50,【参考】数式用!$C$3:$F$3,0)+2,0),"")</f>
        <v>7.5000000000000011E-2</v>
      </c>
      <c r="P50" s="458" t="s">
        <v>180</v>
      </c>
      <c r="Q50" s="141">
        <v>8</v>
      </c>
      <c r="R50" s="459" t="s">
        <v>271</v>
      </c>
      <c r="S50" s="141">
        <v>4</v>
      </c>
      <c r="T50" s="459" t="s">
        <v>272</v>
      </c>
      <c r="U50" s="141">
        <v>8</v>
      </c>
      <c r="V50" s="459" t="s">
        <v>271</v>
      </c>
      <c r="W50" s="141">
        <v>5</v>
      </c>
      <c r="X50" s="459" t="s">
        <v>273</v>
      </c>
      <c r="Y50" s="459" t="s">
        <v>274</v>
      </c>
      <c r="Z50" s="459">
        <f t="shared" si="16"/>
        <v>2</v>
      </c>
      <c r="AA50" s="460" t="s">
        <v>275</v>
      </c>
      <c r="AB50" s="461">
        <f t="shared" si="28"/>
        <v>1413008</v>
      </c>
      <c r="AC50" s="462">
        <f>IFERROR(ROUNDDOWN(ROUNDDOWN(ROUND(L50*VLOOKUP(K50,【参考】数式用!$A$4:$F$57,MATCH("処遇改善加算Ⅳ",【参考】数式用!$C$3:$F$3,0)+2,0),0)*M50,0)*Z50*0.5,0), "")</f>
        <v>414482</v>
      </c>
      <c r="AD50" s="156" t="s">
        <v>2596</v>
      </c>
      <c r="AE50" s="157" t="s">
        <v>2596</v>
      </c>
      <c r="AF50" s="157" t="s">
        <v>2596</v>
      </c>
      <c r="AG50" s="158">
        <v>1</v>
      </c>
      <c r="AH50" s="159"/>
      <c r="AI50" s="161" t="s">
        <v>657</v>
      </c>
      <c r="AJ50" s="161"/>
      <c r="AK50" s="545" t="str">
        <f t="shared" si="2"/>
        <v/>
      </c>
      <c r="AL50" s="546" t="str">
        <f t="shared" si="3"/>
        <v/>
      </c>
      <c r="AM50" s="547"/>
      <c r="AN50" s="551" t="str">
        <f>IFERROR(VLOOKUP(K50,【参考】数式用!$A$2:$N$57,14,FALSE),"")</f>
        <v>加算対象</v>
      </c>
      <c r="AO50" s="551" t="str">
        <f t="shared" si="4"/>
        <v>N列に色付け</v>
      </c>
      <c r="AP50" s="550" t="str">
        <f t="shared" si="5"/>
        <v>入力済</v>
      </c>
      <c r="AQ50" s="550" t="str">
        <f t="shared" si="6"/>
        <v>入力済</v>
      </c>
      <c r="AR50" s="551" t="str">
        <f t="shared" si="7"/>
        <v>AF列に色付け</v>
      </c>
      <c r="AS50" s="550" t="str">
        <f t="shared" si="8"/>
        <v>入力済</v>
      </c>
      <c r="AT50" s="550" t="str">
        <f t="shared" si="9"/>
        <v>対象</v>
      </c>
      <c r="AU50" s="550">
        <f t="shared" si="29"/>
        <v>1</v>
      </c>
      <c r="AV50" s="551" t="str">
        <f t="shared" si="11"/>
        <v/>
      </c>
      <c r="AW50" s="551" t="str">
        <f t="shared" si="12"/>
        <v>入力済</v>
      </c>
      <c r="AX50" s="550" t="str">
        <f>IFERROR(VLOOKUP(K50,【参考】数式用!$AR$3:$AS$49,2, FALSE), "")</f>
        <v>介護予防短期入所療養介護_介護老人保健施設_Ⅴ</v>
      </c>
      <c r="AY50" s="551" t="str">
        <f t="shared" si="13"/>
        <v>AI列に色付け</v>
      </c>
      <c r="AZ50" s="551" t="str">
        <f t="shared" si="14"/>
        <v>入力済</v>
      </c>
      <c r="BA50" s="550" t="str">
        <f>IFERROR(VLOOKUP(K50,【参考】数式用!$AX$3:$AY$56, 2, FALSE), "")</f>
        <v>介護予防短期入所療養介護_介護老人保健施設_R8</v>
      </c>
      <c r="BB50" s="551" t="str">
        <f t="shared" si="30"/>
        <v/>
      </c>
      <c r="BC50" s="551" t="str">
        <f t="shared" si="31"/>
        <v>入力済</v>
      </c>
      <c r="BD50" s="551" t="str">
        <f t="shared" si="17"/>
        <v/>
      </c>
      <c r="BE50" s="551" t="str">
        <f t="shared" si="32"/>
        <v>茨城県</v>
      </c>
      <c r="BF50" s="516"/>
      <c r="BG50" s="516"/>
      <c r="BH50" s="516"/>
      <c r="BI50" s="516"/>
      <c r="BJ50" s="516"/>
      <c r="BK50" s="516"/>
      <c r="BL50" s="516"/>
      <c r="BM50" s="516"/>
      <c r="BN50" s="516"/>
      <c r="BO50" s="517"/>
    </row>
    <row r="51" spans="1:67" s="518" customFormat="1" ht="109.95" customHeight="1" thickBot="1">
      <c r="A51" s="456">
        <v>40</v>
      </c>
      <c r="B51" s="724" t="str">
        <f>IF(基本情報入力シート!B79="","",基本情報入力シート!B79)</f>
        <v>0811111128</v>
      </c>
      <c r="C51" s="725"/>
      <c r="D51" s="725"/>
      <c r="E51" s="725"/>
      <c r="F51" s="726"/>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IF(基本情報入力シート!AG79="","",基本情報入力シート!AG79)</f>
        <v>10</v>
      </c>
      <c r="N51" s="136" t="s">
        <v>2595</v>
      </c>
      <c r="O51" s="155">
        <f>IFERROR(VLOOKUP(K51,【参考】数式用!$A$2:$F$57,MATCH(N51,【参考】数式用!$C$3:$F$3,0)+2,0),"")</f>
        <v>2.9000000000000001E-2</v>
      </c>
      <c r="P51" s="458" t="s">
        <v>180</v>
      </c>
      <c r="Q51" s="141">
        <v>8</v>
      </c>
      <c r="R51" s="459" t="s">
        <v>271</v>
      </c>
      <c r="S51" s="141">
        <v>4</v>
      </c>
      <c r="T51" s="459" t="s">
        <v>272</v>
      </c>
      <c r="U51" s="141">
        <v>8</v>
      </c>
      <c r="V51" s="459" t="s">
        <v>271</v>
      </c>
      <c r="W51" s="141">
        <v>5</v>
      </c>
      <c r="X51" s="459" t="s">
        <v>273</v>
      </c>
      <c r="Y51" s="459" t="s">
        <v>274</v>
      </c>
      <c r="Z51" s="459">
        <f t="shared" si="16"/>
        <v>2</v>
      </c>
      <c r="AA51" s="460" t="s">
        <v>275</v>
      </c>
      <c r="AB51" s="461">
        <f t="shared" si="28"/>
        <v>552740</v>
      </c>
      <c r="AC51" s="462">
        <f>IFERROR(ROUNDDOWN(ROUNDDOWN(ROUND(L51*VLOOKUP(K51,【参考】数式用!$A$4:$F$57,MATCH("処遇改善加算Ⅳ",【参考】数式用!$C$3:$F$3,0)+2,0),0)*M51,0)*Z51*0.5,0), "")</f>
        <v>276370</v>
      </c>
      <c r="AD51" s="156" t="s">
        <v>2596</v>
      </c>
      <c r="AE51" s="157" t="s">
        <v>430</v>
      </c>
      <c r="AF51" s="157"/>
      <c r="AG51" s="158"/>
      <c r="AH51" s="159"/>
      <c r="AI51" s="161"/>
      <c r="AJ51" s="161" t="s">
        <v>405</v>
      </c>
      <c r="AK51" s="545" t="str">
        <f t="shared" si="2"/>
        <v/>
      </c>
      <c r="AL51" s="546" t="str">
        <f t="shared" si="3"/>
        <v/>
      </c>
      <c r="AM51" s="547"/>
      <c r="AN51" s="551" t="str">
        <f>IFERROR(VLOOKUP(K51,【参考】数式用!$A$2:$N$57,14,FALSE),"")</f>
        <v>加算対象</v>
      </c>
      <c r="AO51" s="551" t="str">
        <f t="shared" si="4"/>
        <v>N列に色付け</v>
      </c>
      <c r="AP51" s="550" t="str">
        <f t="shared" si="5"/>
        <v>入力済</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短期入所療養介護_病院等_老健以外__Ⅴ</v>
      </c>
      <c r="AY51" s="551" t="str">
        <f t="shared" si="13"/>
        <v/>
      </c>
      <c r="AZ51" s="551" t="str">
        <f t="shared" si="14"/>
        <v>入力済</v>
      </c>
      <c r="BA51" s="550" t="str">
        <f>IFERROR(VLOOKUP(K51,【参考】数式用!$AX$3:$AY$56, 2, FALSE), "")</f>
        <v>短期入所療養介護_病院等_老健以外__R8</v>
      </c>
      <c r="BB51" s="551" t="str">
        <f t="shared" si="30"/>
        <v>AJ列に色付け</v>
      </c>
      <c r="BC51" s="551" t="str">
        <f t="shared" si="31"/>
        <v>入力済</v>
      </c>
      <c r="BD51" s="551" t="str">
        <f t="shared" si="17"/>
        <v>入力必要</v>
      </c>
      <c r="BE51" s="551" t="str">
        <f t="shared" si="32"/>
        <v>茨城県</v>
      </c>
      <c r="BF51" s="516"/>
      <c r="BG51" s="516"/>
      <c r="BH51" s="516"/>
      <c r="BI51" s="516"/>
      <c r="BJ51" s="516"/>
      <c r="BK51" s="516"/>
      <c r="BL51" s="516"/>
      <c r="BM51" s="516"/>
      <c r="BN51" s="516"/>
      <c r="BO51" s="517"/>
    </row>
    <row r="52" spans="1:67" s="518" customFormat="1" ht="109.95" customHeight="1" thickBot="1">
      <c r="A52" s="456">
        <v>41</v>
      </c>
      <c r="B52" s="724" t="str">
        <f>IF(基本情報入力シート!B80="","",基本情報入力シート!B80)</f>
        <v>0811111128</v>
      </c>
      <c r="C52" s="725"/>
      <c r="D52" s="725"/>
      <c r="E52" s="725"/>
      <c r="F52" s="726"/>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IF(基本情報入力シート!AG80="","",基本情報入力シート!AG80)</f>
        <v>10</v>
      </c>
      <c r="N52" s="136" t="s">
        <v>370</v>
      </c>
      <c r="O52" s="155">
        <f>IFERROR(VLOOKUP(K52,【参考】数式用!$A$2:$F$57,MATCH(N52,【参考】数式用!$C$3:$F$3,0)+2,0),"")</f>
        <v>2.9000000000000001E-2</v>
      </c>
      <c r="P52" s="458" t="s">
        <v>180</v>
      </c>
      <c r="Q52" s="141">
        <v>8</v>
      </c>
      <c r="R52" s="459" t="s">
        <v>271</v>
      </c>
      <c r="S52" s="141">
        <v>4</v>
      </c>
      <c r="T52" s="459" t="s">
        <v>272</v>
      </c>
      <c r="U52" s="141">
        <v>8</v>
      </c>
      <c r="V52" s="459" t="s">
        <v>271</v>
      </c>
      <c r="W52" s="141">
        <v>5</v>
      </c>
      <c r="X52" s="459" t="s">
        <v>182</v>
      </c>
      <c r="Y52" s="459" t="s">
        <v>274</v>
      </c>
      <c r="Z52" s="459">
        <f t="shared" si="16"/>
        <v>2</v>
      </c>
      <c r="AA52" s="460" t="s">
        <v>275</v>
      </c>
      <c r="AB52" s="461">
        <f t="shared" si="28"/>
        <v>552740</v>
      </c>
      <c r="AC52" s="462">
        <f>IFERROR(ROUNDDOWN(ROUNDDOWN(ROUND(L52*VLOOKUP(K52,【参考】数式用!$A$4:$F$57,MATCH("処遇改善加算Ⅳ",【参考】数式用!$C$3:$F$3,0)+2,0),0)*M52,0)*Z52*0.5,0), "")</f>
        <v>276370</v>
      </c>
      <c r="AD52" s="156" t="s">
        <v>2596</v>
      </c>
      <c r="AE52" s="157" t="s">
        <v>430</v>
      </c>
      <c r="AF52" s="157"/>
      <c r="AG52" s="158"/>
      <c r="AH52" s="159"/>
      <c r="AI52" s="161"/>
      <c r="AJ52" s="161" t="s">
        <v>405</v>
      </c>
      <c r="AK52" s="545" t="str">
        <f t="shared" si="2"/>
        <v/>
      </c>
      <c r="AL52" s="546" t="str">
        <f t="shared" si="3"/>
        <v/>
      </c>
      <c r="AM52" s="547"/>
      <c r="AN52" s="551" t="str">
        <f>IFERROR(VLOOKUP(K52,【参考】数式用!$A$2:$N$57,14,FALSE),"")</f>
        <v>加算対象</v>
      </c>
      <c r="AO52" s="551" t="str">
        <f t="shared" si="4"/>
        <v>N列に色付け</v>
      </c>
      <c r="AP52" s="550" t="str">
        <f t="shared" si="5"/>
        <v>入力済</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介護予防短期入所療養介護_病院等_老健以外__Ⅴ</v>
      </c>
      <c r="AY52" s="551" t="str">
        <f t="shared" si="13"/>
        <v/>
      </c>
      <c r="AZ52" s="551" t="str">
        <f t="shared" si="14"/>
        <v>入力済</v>
      </c>
      <c r="BA52" s="550" t="str">
        <f>IFERROR(VLOOKUP(K52,【参考】数式用!$AX$3:$AY$56, 2, FALSE), "")</f>
        <v>介護予防短期入所療養介護_病院等_老健以外__R8</v>
      </c>
      <c r="BB52" s="551" t="str">
        <f t="shared" si="30"/>
        <v>AJ列に色付け</v>
      </c>
      <c r="BC52" s="551" t="str">
        <f t="shared" si="31"/>
        <v>入力済</v>
      </c>
      <c r="BD52" s="551" t="str">
        <f t="shared" si="17"/>
        <v>入力必要</v>
      </c>
      <c r="BE52" s="551" t="str">
        <f t="shared" si="32"/>
        <v>茨城県</v>
      </c>
      <c r="BF52" s="516"/>
      <c r="BG52" s="516"/>
      <c r="BH52" s="516"/>
      <c r="BI52" s="516"/>
      <c r="BJ52" s="516"/>
      <c r="BK52" s="516"/>
      <c r="BL52" s="516"/>
      <c r="BM52" s="516"/>
      <c r="BN52" s="516"/>
      <c r="BO52" s="517"/>
    </row>
    <row r="53" spans="1:67" s="518" customFormat="1" ht="109.95" customHeight="1" thickBot="1">
      <c r="A53" s="456">
        <v>42</v>
      </c>
      <c r="B53" s="724" t="str">
        <f>IF(基本情報入力シート!B81="","",基本情報入力シート!B81)</f>
        <v>0811111129</v>
      </c>
      <c r="C53" s="725"/>
      <c r="D53" s="725"/>
      <c r="E53" s="725"/>
      <c r="F53" s="726"/>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IF(基本情報入力シート!AG81="","",基本情報入力シート!AG81)</f>
        <v>10</v>
      </c>
      <c r="N53" s="136" t="s">
        <v>370</v>
      </c>
      <c r="O53" s="155">
        <f>IFERROR(VLOOKUP(K53,【参考】数式用!$A$2:$F$57,MATCH(N53,【参考】数式用!$C$3:$F$3,0)+2,0),"")</f>
        <v>2.9000000000000001E-2</v>
      </c>
      <c r="P53" s="458" t="s">
        <v>180</v>
      </c>
      <c r="Q53" s="141">
        <v>8</v>
      </c>
      <c r="R53" s="459" t="s">
        <v>271</v>
      </c>
      <c r="S53" s="141">
        <v>4</v>
      </c>
      <c r="T53" s="459" t="s">
        <v>272</v>
      </c>
      <c r="U53" s="141">
        <v>8</v>
      </c>
      <c r="V53" s="459" t="s">
        <v>271</v>
      </c>
      <c r="W53" s="141">
        <v>5</v>
      </c>
      <c r="X53" s="459" t="s">
        <v>182</v>
      </c>
      <c r="Y53" s="459" t="s">
        <v>274</v>
      </c>
      <c r="Z53" s="459">
        <f t="shared" si="16"/>
        <v>2</v>
      </c>
      <c r="AA53" s="460" t="s">
        <v>275</v>
      </c>
      <c r="AB53" s="461">
        <f t="shared" si="28"/>
        <v>552740</v>
      </c>
      <c r="AC53" s="462">
        <f>IFERROR(ROUNDDOWN(ROUNDDOWN(ROUND(L53*VLOOKUP(K53,【参考】数式用!$A$4:$F$57,MATCH("処遇改善加算Ⅳ",【参考】数式用!$C$3:$F$3,0)+2,0),0)*M53,0)*Z53*0.5,0), "")</f>
        <v>276370</v>
      </c>
      <c r="AD53" s="156" t="s">
        <v>2596</v>
      </c>
      <c r="AE53" s="157" t="s">
        <v>421</v>
      </c>
      <c r="AF53" s="157"/>
      <c r="AG53" s="158"/>
      <c r="AH53" s="159"/>
      <c r="AI53" s="161"/>
      <c r="AJ53" s="161" t="s">
        <v>496</v>
      </c>
      <c r="AK53" s="545" t="str">
        <f t="shared" si="2"/>
        <v/>
      </c>
      <c r="AL53" s="546" t="str">
        <f t="shared" si="3"/>
        <v/>
      </c>
      <c r="AM53" s="547"/>
      <c r="AN53" s="551" t="str">
        <f>IFERROR(VLOOKUP(K53,【参考】数式用!$A$2:$N$57,14,FALSE),"")</f>
        <v>加算対象</v>
      </c>
      <c r="AO53" s="551" t="str">
        <f t="shared" si="4"/>
        <v>N列に色付け</v>
      </c>
      <c r="AP53" s="550" t="str">
        <f t="shared" si="5"/>
        <v>入力済</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介護医療院サービスⅤ</v>
      </c>
      <c r="AY53" s="551" t="str">
        <f t="shared" si="13"/>
        <v/>
      </c>
      <c r="AZ53" s="551" t="str">
        <f t="shared" si="14"/>
        <v>入力済</v>
      </c>
      <c r="BA53" s="550" t="str">
        <f>IFERROR(VLOOKUP(K53,【参考】数式用!$AX$3:$AY$56, 2, FALSE), "")</f>
        <v>介護医療院サービスR8</v>
      </c>
      <c r="BB53" s="551" t="str">
        <f t="shared" si="30"/>
        <v>AJ列に色付け</v>
      </c>
      <c r="BC53" s="551" t="str">
        <f t="shared" si="31"/>
        <v>入力済</v>
      </c>
      <c r="BD53" s="551" t="str">
        <f t="shared" si="17"/>
        <v>入力必要</v>
      </c>
      <c r="BE53" s="551" t="str">
        <f t="shared" si="32"/>
        <v>茨城県</v>
      </c>
      <c r="BF53" s="516"/>
      <c r="BG53" s="516"/>
      <c r="BH53" s="516"/>
      <c r="BI53" s="516"/>
      <c r="BJ53" s="516"/>
      <c r="BK53" s="516"/>
      <c r="BL53" s="516"/>
      <c r="BM53" s="516"/>
      <c r="BN53" s="516"/>
      <c r="BO53" s="517"/>
    </row>
    <row r="54" spans="1:67" s="518" customFormat="1" ht="109.95" customHeight="1" thickBot="1">
      <c r="A54" s="456">
        <v>43</v>
      </c>
      <c r="B54" s="724" t="str">
        <f>IF(基本情報入力シート!B82="","",基本情報入力シート!B82)</f>
        <v>0811111129</v>
      </c>
      <c r="C54" s="725"/>
      <c r="D54" s="725"/>
      <c r="E54" s="725"/>
      <c r="F54" s="726"/>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IF(基本情報入力シート!AG82="","",基本情報入力シート!AG82)</f>
        <v>10</v>
      </c>
      <c r="N54" s="136" t="s">
        <v>370</v>
      </c>
      <c r="O54" s="155">
        <f>IFERROR(VLOOKUP(K54,【参考】数式用!$A$2:$F$57,MATCH(N54,【参考】数式用!$C$3:$F$3,0)+2,0),"")</f>
        <v>2.9000000000000001E-2</v>
      </c>
      <c r="P54" s="458" t="s">
        <v>180</v>
      </c>
      <c r="Q54" s="141">
        <v>8</v>
      </c>
      <c r="R54" s="459" t="s">
        <v>271</v>
      </c>
      <c r="S54" s="141">
        <v>4</v>
      </c>
      <c r="T54" s="459" t="s">
        <v>272</v>
      </c>
      <c r="U54" s="141">
        <v>8</v>
      </c>
      <c r="V54" s="459" t="s">
        <v>271</v>
      </c>
      <c r="W54" s="141">
        <v>5</v>
      </c>
      <c r="X54" s="459" t="s">
        <v>273</v>
      </c>
      <c r="Y54" s="459" t="s">
        <v>274</v>
      </c>
      <c r="Z54" s="459">
        <f t="shared" si="16"/>
        <v>2</v>
      </c>
      <c r="AA54" s="460" t="s">
        <v>275</v>
      </c>
      <c r="AB54" s="461">
        <f t="shared" si="28"/>
        <v>552740</v>
      </c>
      <c r="AC54" s="462">
        <f>IFERROR(ROUNDDOWN(ROUNDDOWN(ROUND(L54*VLOOKUP(K54,【参考】数式用!$A$4:$F$57,MATCH("処遇改善加算Ⅳ",【参考】数式用!$C$3:$F$3,0)+2,0),0)*M54,0)*Z54*0.5,0), "")</f>
        <v>276370</v>
      </c>
      <c r="AD54" s="156" t="s">
        <v>2596</v>
      </c>
      <c r="AE54" s="157" t="s">
        <v>421</v>
      </c>
      <c r="AF54" s="157"/>
      <c r="AG54" s="158"/>
      <c r="AH54" s="159"/>
      <c r="AI54" s="161"/>
      <c r="AJ54" s="161" t="s">
        <v>496</v>
      </c>
      <c r="AK54" s="545" t="str">
        <f t="shared" si="2"/>
        <v/>
      </c>
      <c r="AL54" s="546" t="str">
        <f t="shared" si="3"/>
        <v/>
      </c>
      <c r="AM54" s="547"/>
      <c r="AN54" s="551" t="str">
        <f>IFERROR(VLOOKUP(K54,【参考】数式用!$A$2:$N$57,14,FALSE),"")</f>
        <v>加算対象</v>
      </c>
      <c r="AO54" s="551" t="str">
        <f t="shared" si="4"/>
        <v>N列に色付け</v>
      </c>
      <c r="AP54" s="550" t="str">
        <f t="shared" si="5"/>
        <v>入力済</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短期入所療養介護_介護医療院_Ⅴ</v>
      </c>
      <c r="AY54" s="551" t="str">
        <f t="shared" si="13"/>
        <v/>
      </c>
      <c r="AZ54" s="551" t="str">
        <f t="shared" si="14"/>
        <v>入力済</v>
      </c>
      <c r="BA54" s="550" t="str">
        <f>IFERROR(VLOOKUP(K54,【参考】数式用!$AX$3:$AY$56, 2, FALSE), "")</f>
        <v>短期入所療養介護_介護医療院_R8</v>
      </c>
      <c r="BB54" s="551" t="str">
        <f t="shared" si="30"/>
        <v>AJ列に色付け</v>
      </c>
      <c r="BC54" s="551" t="str">
        <f t="shared" si="31"/>
        <v>入力済</v>
      </c>
      <c r="BD54" s="551" t="str">
        <f t="shared" si="17"/>
        <v>入力必要</v>
      </c>
      <c r="BE54" s="551" t="str">
        <f t="shared" si="32"/>
        <v>茨城県</v>
      </c>
      <c r="BF54" s="516"/>
      <c r="BG54" s="516"/>
      <c r="BH54" s="516"/>
      <c r="BI54" s="516"/>
      <c r="BJ54" s="516"/>
      <c r="BK54" s="516"/>
      <c r="BL54" s="516"/>
      <c r="BM54" s="516"/>
      <c r="BN54" s="516"/>
      <c r="BO54" s="517"/>
    </row>
    <row r="55" spans="1:67" s="518" customFormat="1" ht="109.95" customHeight="1" thickBot="1">
      <c r="A55" s="456">
        <v>44</v>
      </c>
      <c r="B55" s="724" t="str">
        <f>IF(基本情報入力シート!B83="","",基本情報入力シート!B83)</f>
        <v>0811111129</v>
      </c>
      <c r="C55" s="725"/>
      <c r="D55" s="725"/>
      <c r="E55" s="725"/>
      <c r="F55" s="726"/>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IF(基本情報入力シート!AG83="","",基本情報入力シート!AG83)</f>
        <v>10</v>
      </c>
      <c r="N55" s="136" t="s">
        <v>370</v>
      </c>
      <c r="O55" s="155">
        <f>IFERROR(VLOOKUP(K55,【参考】数式用!$A$2:$F$57,MATCH(N55,【参考】数式用!$C$3:$F$3,0)+2,0),"")</f>
        <v>2.9000000000000001E-2</v>
      </c>
      <c r="P55" s="458" t="s">
        <v>180</v>
      </c>
      <c r="Q55" s="141">
        <v>8</v>
      </c>
      <c r="R55" s="459" t="s">
        <v>271</v>
      </c>
      <c r="S55" s="141">
        <v>4</v>
      </c>
      <c r="T55" s="459" t="s">
        <v>272</v>
      </c>
      <c r="U55" s="141">
        <v>8</v>
      </c>
      <c r="V55" s="459" t="s">
        <v>271</v>
      </c>
      <c r="W55" s="141">
        <v>5</v>
      </c>
      <c r="X55" s="459" t="s">
        <v>273</v>
      </c>
      <c r="Y55" s="459" t="s">
        <v>274</v>
      </c>
      <c r="Z55" s="459">
        <f t="shared" si="16"/>
        <v>2</v>
      </c>
      <c r="AA55" s="460" t="s">
        <v>275</v>
      </c>
      <c r="AB55" s="461">
        <f t="shared" si="28"/>
        <v>552740</v>
      </c>
      <c r="AC55" s="462">
        <f>IFERROR(ROUNDDOWN(ROUNDDOWN(ROUND(L55*VLOOKUP(K55,【参考】数式用!$A$4:$F$57,MATCH("処遇改善加算Ⅳ",【参考】数式用!$C$3:$F$3,0)+2,0),0)*M55,0)*Z55*0.5,0), "")</f>
        <v>276370</v>
      </c>
      <c r="AD55" s="156" t="s">
        <v>2596</v>
      </c>
      <c r="AE55" s="157" t="s">
        <v>421</v>
      </c>
      <c r="AF55" s="157"/>
      <c r="AG55" s="158"/>
      <c r="AH55" s="159"/>
      <c r="AI55" s="161"/>
      <c r="AJ55" s="161" t="s">
        <v>496</v>
      </c>
      <c r="AK55" s="545" t="str">
        <f t="shared" si="2"/>
        <v/>
      </c>
      <c r="AL55" s="546" t="str">
        <f t="shared" si="3"/>
        <v/>
      </c>
      <c r="AM55" s="547"/>
      <c r="AN55" s="551" t="str">
        <f>IFERROR(VLOOKUP(K55,【参考】数式用!$A$2:$N$57,14,FALSE),"")</f>
        <v>加算対象</v>
      </c>
      <c r="AO55" s="551" t="str">
        <f t="shared" si="4"/>
        <v>N列に色付け</v>
      </c>
      <c r="AP55" s="550" t="str">
        <f t="shared" si="5"/>
        <v>入力済</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介護予防短期入所療養介護_介護医療院_Ⅴ</v>
      </c>
      <c r="AY55" s="551" t="str">
        <f t="shared" si="13"/>
        <v/>
      </c>
      <c r="AZ55" s="551" t="str">
        <f t="shared" si="14"/>
        <v>入力済</v>
      </c>
      <c r="BA55" s="550" t="str">
        <f>IFERROR(VLOOKUP(K55,【参考】数式用!$AX$3:$AY$56, 2, FALSE), "")</f>
        <v>介護予防短期入所療養介護_介護医療院_R8</v>
      </c>
      <c r="BB55" s="551" t="str">
        <f t="shared" si="30"/>
        <v>AJ列に色付け</v>
      </c>
      <c r="BC55" s="551" t="str">
        <f t="shared" si="31"/>
        <v>入力済</v>
      </c>
      <c r="BD55" s="551" t="str">
        <f t="shared" si="17"/>
        <v>入力必要</v>
      </c>
      <c r="BE55" s="551" t="str">
        <f t="shared" si="32"/>
        <v>茨城県</v>
      </c>
      <c r="BF55" s="516"/>
      <c r="BG55" s="516"/>
      <c r="BH55" s="516"/>
      <c r="BI55" s="516"/>
      <c r="BJ55" s="516"/>
      <c r="BK55" s="516"/>
      <c r="BL55" s="516"/>
      <c r="BM55" s="516"/>
      <c r="BN55" s="516"/>
      <c r="BO55" s="517"/>
    </row>
    <row r="56" spans="1:67" s="518" customFormat="1" ht="109.95" customHeight="1" thickBot="1">
      <c r="A56" s="456">
        <v>45</v>
      </c>
      <c r="B56" s="724" t="str">
        <f>IF(基本情報入力シート!B84="","",基本情報入力シート!B84)</f>
        <v>0811111130</v>
      </c>
      <c r="C56" s="725"/>
      <c r="D56" s="725"/>
      <c r="E56" s="725"/>
      <c r="F56" s="726"/>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IF(基本情報入力シート!AG84="","",基本情報入力シート!AG84)</f>
        <v>10.7</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加算対象外</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訪問看護R8</v>
      </c>
      <c r="BB56" s="551" t="str">
        <f t="shared" si="30"/>
        <v/>
      </c>
      <c r="BC56" s="551" t="str">
        <f t="shared" si="31"/>
        <v>入力済</v>
      </c>
      <c r="BD56" s="551" t="str">
        <f t="shared" si="17"/>
        <v/>
      </c>
      <c r="BE56" s="551" t="str">
        <f t="shared" si="32"/>
        <v>茨城県</v>
      </c>
      <c r="BF56" s="516"/>
      <c r="BG56" s="516"/>
      <c r="BH56" s="516"/>
      <c r="BI56" s="516"/>
      <c r="BJ56" s="516"/>
      <c r="BK56" s="516"/>
      <c r="BL56" s="516"/>
      <c r="BM56" s="516"/>
      <c r="BN56" s="516"/>
      <c r="BO56" s="517"/>
    </row>
    <row r="57" spans="1:67" s="518" customFormat="1" ht="109.95" customHeight="1" thickBot="1">
      <c r="A57" s="456">
        <v>46</v>
      </c>
      <c r="B57" s="724" t="str">
        <f>IF(基本情報入力シート!B85="","",基本情報入力シート!B85)</f>
        <v>0811111130</v>
      </c>
      <c r="C57" s="725"/>
      <c r="D57" s="725"/>
      <c r="E57" s="725"/>
      <c r="F57" s="726"/>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IF(基本情報入力シート!AG85="","",基本情報入力シート!AG85)</f>
        <v>10.7</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加算対象外</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介護予防訪問看護R8</v>
      </c>
      <c r="BB57" s="551" t="str">
        <f t="shared" si="30"/>
        <v/>
      </c>
      <c r="BC57" s="551" t="str">
        <f t="shared" si="31"/>
        <v>入力済</v>
      </c>
      <c r="BD57" s="551" t="str">
        <f t="shared" si="17"/>
        <v/>
      </c>
      <c r="BE57" s="551" t="str">
        <f t="shared" si="32"/>
        <v>茨城県</v>
      </c>
      <c r="BF57" s="516"/>
      <c r="BG57" s="516"/>
      <c r="BH57" s="516"/>
      <c r="BI57" s="516"/>
      <c r="BJ57" s="516"/>
      <c r="BK57" s="516"/>
      <c r="BL57" s="516"/>
      <c r="BM57" s="516"/>
      <c r="BN57" s="516"/>
      <c r="BO57" s="517"/>
    </row>
    <row r="58" spans="1:67" s="518" customFormat="1" ht="109.95" customHeight="1" thickBot="1">
      <c r="A58" s="456">
        <v>47</v>
      </c>
      <c r="B58" s="724" t="str">
        <f>IF(基本情報入力シート!B86="","",基本情報入力シート!B86)</f>
        <v>0811111131</v>
      </c>
      <c r="C58" s="725"/>
      <c r="D58" s="725"/>
      <c r="E58" s="725"/>
      <c r="F58" s="726"/>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IF(基本情報入力シート!AG86="","",基本情報入力シート!AG86)</f>
        <v>10</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加算対象外</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訪問リハビリテーションR8</v>
      </c>
      <c r="BB58" s="551" t="str">
        <f t="shared" si="30"/>
        <v/>
      </c>
      <c r="BC58" s="551" t="str">
        <f t="shared" si="31"/>
        <v>入力済</v>
      </c>
      <c r="BD58" s="551" t="str">
        <f t="shared" si="17"/>
        <v/>
      </c>
      <c r="BE58" s="551" t="str">
        <f t="shared" si="32"/>
        <v>茨城県</v>
      </c>
      <c r="BF58" s="516"/>
      <c r="BG58" s="516"/>
      <c r="BH58" s="516"/>
      <c r="BI58" s="516"/>
      <c r="BJ58" s="516"/>
      <c r="BK58" s="516"/>
      <c r="BL58" s="516"/>
      <c r="BM58" s="516"/>
      <c r="BN58" s="516"/>
      <c r="BO58" s="517"/>
    </row>
    <row r="59" spans="1:67" s="518" customFormat="1" ht="109.95" customHeight="1" thickBot="1">
      <c r="A59" s="456">
        <v>48</v>
      </c>
      <c r="B59" s="724" t="str">
        <f>IF(基本情報入力シート!B87="","",基本情報入力シート!B87)</f>
        <v>0811111131</v>
      </c>
      <c r="C59" s="725"/>
      <c r="D59" s="725"/>
      <c r="E59" s="725"/>
      <c r="F59" s="726"/>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IF(基本情報入力シート!AG87="","",基本情報入力シート!AG87)</f>
        <v>10</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加算対象外</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介護予防訪問リハビリテーションR8</v>
      </c>
      <c r="BB59" s="551" t="str">
        <f t="shared" si="30"/>
        <v/>
      </c>
      <c r="BC59" s="551" t="str">
        <f t="shared" si="31"/>
        <v>入力済</v>
      </c>
      <c r="BD59" s="551" t="str">
        <f t="shared" si="17"/>
        <v/>
      </c>
      <c r="BE59" s="551" t="str">
        <f t="shared" si="32"/>
        <v>茨城県</v>
      </c>
      <c r="BF59" s="516"/>
      <c r="BG59" s="516"/>
      <c r="BH59" s="516"/>
      <c r="BI59" s="516"/>
      <c r="BJ59" s="516"/>
      <c r="BK59" s="516"/>
      <c r="BL59" s="516"/>
      <c r="BM59" s="516"/>
      <c r="BN59" s="516"/>
      <c r="BO59" s="517"/>
    </row>
    <row r="60" spans="1:67" s="518" customFormat="1" ht="109.95" customHeight="1" thickBot="1">
      <c r="A60" s="456">
        <v>49</v>
      </c>
      <c r="B60" s="724" t="str">
        <f>IF(基本情報入力シート!B88="","",基本情報入力シート!B88)</f>
        <v>0811111132</v>
      </c>
      <c r="C60" s="725"/>
      <c r="D60" s="725"/>
      <c r="E60" s="725"/>
      <c r="F60" s="726"/>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IF(基本情報入力シート!AG88="","",基本情報入力シート!AG88)</f>
        <v>10.210000000000001</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加算対象外</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居宅介護支援R8</v>
      </c>
      <c r="BB60" s="551" t="str">
        <f t="shared" si="30"/>
        <v/>
      </c>
      <c r="BC60" s="551" t="str">
        <f t="shared" si="31"/>
        <v>入力済</v>
      </c>
      <c r="BD60" s="551" t="str">
        <f t="shared" si="17"/>
        <v/>
      </c>
      <c r="BE60" s="551" t="str">
        <f t="shared" si="32"/>
        <v>那珂市</v>
      </c>
      <c r="BF60" s="516"/>
      <c r="BG60" s="516"/>
      <c r="BH60" s="516"/>
      <c r="BI60" s="516"/>
      <c r="BJ60" s="516"/>
      <c r="BK60" s="516"/>
      <c r="BL60" s="516"/>
      <c r="BM60" s="516"/>
      <c r="BN60" s="516"/>
      <c r="BO60" s="517"/>
    </row>
    <row r="61" spans="1:67" s="518" customFormat="1" ht="109.95" customHeight="1" thickBot="1">
      <c r="A61" s="456">
        <v>50</v>
      </c>
      <c r="B61" s="724" t="str">
        <f>IF(基本情報入力シート!B89="","",基本情報入力シート!B89)</f>
        <v>0811111133</v>
      </c>
      <c r="C61" s="725"/>
      <c r="D61" s="725"/>
      <c r="E61" s="725"/>
      <c r="F61" s="726"/>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IF(基本情報入力シート!AG89="","",基本情報入力シート!AG89)</f>
        <v>10.210000000000001</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加算対象外</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介護予防支援R8</v>
      </c>
      <c r="BB61" s="551" t="str">
        <f t="shared" si="30"/>
        <v/>
      </c>
      <c r="BC61" s="551" t="str">
        <f t="shared" si="31"/>
        <v>入力済</v>
      </c>
      <c r="BD61" s="551" t="str">
        <f t="shared" si="17"/>
        <v/>
      </c>
      <c r="BE61" s="551" t="str">
        <f t="shared" si="32"/>
        <v>筑西市</v>
      </c>
      <c r="BF61" s="516"/>
      <c r="BG61" s="516"/>
      <c r="BH61" s="516"/>
      <c r="BI61" s="516"/>
      <c r="BJ61" s="516"/>
      <c r="BK61" s="516"/>
      <c r="BL61" s="516"/>
      <c r="BM61" s="516"/>
      <c r="BN61" s="516"/>
      <c r="BO61" s="517"/>
    </row>
    <row r="62" spans="1:67" s="518" customFormat="1" ht="109.95" customHeight="1" thickBot="1">
      <c r="A62" s="456">
        <v>51</v>
      </c>
      <c r="B62" s="724" t="str">
        <f>IF(基本情報入力シート!B90="","",基本情報入力シート!B90)</f>
        <v>0811111134</v>
      </c>
      <c r="C62" s="725"/>
      <c r="D62" s="725"/>
      <c r="E62" s="725"/>
      <c r="F62" s="726"/>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IF(基本情報入力シート!AG90="","",基本情報入力シート!AG90)</f>
        <v>10.210000000000001</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加算対象外</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介護予防ケアマネジメントR8</v>
      </c>
      <c r="BB62" s="551" t="str">
        <f t="shared" si="30"/>
        <v/>
      </c>
      <c r="BC62" s="551" t="str">
        <f t="shared" si="31"/>
        <v>入力済</v>
      </c>
      <c r="BD62" s="551" t="str">
        <f t="shared" si="17"/>
        <v/>
      </c>
      <c r="BE62" s="551" t="str">
        <f t="shared" si="32"/>
        <v>坂東市</v>
      </c>
      <c r="BF62" s="516"/>
      <c r="BG62" s="516"/>
      <c r="BH62" s="516"/>
      <c r="BI62" s="516"/>
      <c r="BJ62" s="516"/>
      <c r="BK62" s="516"/>
      <c r="BL62" s="516"/>
      <c r="BM62" s="516"/>
      <c r="BN62" s="516"/>
      <c r="BO62" s="517"/>
    </row>
    <row r="63" spans="1:67" s="518" customFormat="1" ht="109.95" customHeight="1" thickBot="1">
      <c r="A63" s="456">
        <v>52</v>
      </c>
      <c r="B63" s="724" t="str">
        <f>IF(基本情報入力シート!B91="","",基本情報入力シート!B91)</f>
        <v/>
      </c>
      <c r="C63" s="725"/>
      <c r="D63" s="725"/>
      <c r="E63" s="725"/>
      <c r="F63" s="72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724" t="str">
        <f>IF(基本情報入力シート!B92="","",基本情報入力シート!B92)</f>
        <v/>
      </c>
      <c r="C64" s="725"/>
      <c r="D64" s="725"/>
      <c r="E64" s="725"/>
      <c r="F64" s="72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724" t="str">
        <f>IF(基本情報入力シート!B93="","",基本情報入力シート!B93)</f>
        <v/>
      </c>
      <c r="C65" s="725"/>
      <c r="D65" s="725"/>
      <c r="E65" s="725"/>
      <c r="F65" s="72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724" t="str">
        <f>IF(基本情報入力シート!B94="","",基本情報入力シート!B94)</f>
        <v/>
      </c>
      <c r="C66" s="725"/>
      <c r="D66" s="725"/>
      <c r="E66" s="725"/>
      <c r="F66" s="72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724" t="str">
        <f>IF(基本情報入力シート!B95="","",基本情報入力シート!B95)</f>
        <v/>
      </c>
      <c r="C67" s="725"/>
      <c r="D67" s="725"/>
      <c r="E67" s="725"/>
      <c r="F67" s="72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724" t="str">
        <f>IF(基本情報入力シート!B96="","",基本情報入力シート!B96)</f>
        <v/>
      </c>
      <c r="C68" s="725"/>
      <c r="D68" s="725"/>
      <c r="E68" s="725"/>
      <c r="F68" s="72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724" t="str">
        <f>IF(基本情報入力シート!B97="","",基本情報入力シート!B97)</f>
        <v/>
      </c>
      <c r="C69" s="725"/>
      <c r="D69" s="725"/>
      <c r="E69" s="725"/>
      <c r="F69" s="72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724" t="str">
        <f>IF(基本情報入力シート!B98="","",基本情報入力シート!B98)</f>
        <v/>
      </c>
      <c r="C70" s="725"/>
      <c r="D70" s="725"/>
      <c r="E70" s="725"/>
      <c r="F70" s="72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724" t="str">
        <f>IF(基本情報入力シート!B99="","",基本情報入力シート!B99)</f>
        <v/>
      </c>
      <c r="C71" s="725"/>
      <c r="D71" s="725"/>
      <c r="E71" s="725"/>
      <c r="F71" s="72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724" t="str">
        <f>IF(基本情報入力シート!B100="","",基本情報入力シート!B100)</f>
        <v/>
      </c>
      <c r="C72" s="725"/>
      <c r="D72" s="725"/>
      <c r="E72" s="725"/>
      <c r="F72" s="72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724" t="str">
        <f>IF(基本情報入力シート!B101="","",基本情報入力シート!B101)</f>
        <v/>
      </c>
      <c r="C73" s="725"/>
      <c r="D73" s="725"/>
      <c r="E73" s="725"/>
      <c r="F73" s="72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724" t="str">
        <f>IF(基本情報入力シート!B102="","",基本情報入力シート!B102)</f>
        <v/>
      </c>
      <c r="C74" s="725"/>
      <c r="D74" s="725"/>
      <c r="E74" s="725"/>
      <c r="F74" s="72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724" t="str">
        <f>IF(基本情報入力シート!B103="","",基本情報入力シート!B103)</f>
        <v/>
      </c>
      <c r="C75" s="725"/>
      <c r="D75" s="725"/>
      <c r="E75" s="725"/>
      <c r="F75" s="72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724" t="str">
        <f>IF(基本情報入力シート!B104="","",基本情報入力シート!B104)</f>
        <v/>
      </c>
      <c r="C76" s="725"/>
      <c r="D76" s="725"/>
      <c r="E76" s="725"/>
      <c r="F76" s="72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724" t="str">
        <f>IF(基本情報入力シート!B105="","",基本情報入力シート!B105)</f>
        <v/>
      </c>
      <c r="C77" s="725"/>
      <c r="D77" s="725"/>
      <c r="E77" s="725"/>
      <c r="F77" s="72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724" t="str">
        <f>IF(基本情報入力シート!B106="","",基本情報入力シート!B106)</f>
        <v/>
      </c>
      <c r="C78" s="725"/>
      <c r="D78" s="725"/>
      <c r="E78" s="725"/>
      <c r="F78" s="72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724" t="str">
        <f>IF(基本情報入力シート!B107="","",基本情報入力シート!B107)</f>
        <v/>
      </c>
      <c r="C79" s="725"/>
      <c r="D79" s="725"/>
      <c r="E79" s="725"/>
      <c r="F79" s="72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724" t="str">
        <f>IF(基本情報入力シート!B108="","",基本情報入力シート!B108)</f>
        <v/>
      </c>
      <c r="C80" s="725"/>
      <c r="D80" s="725"/>
      <c r="E80" s="725"/>
      <c r="F80" s="72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724" t="str">
        <f>IF(基本情報入力シート!B109="","",基本情報入力シート!B109)</f>
        <v/>
      </c>
      <c r="C81" s="725"/>
      <c r="D81" s="725"/>
      <c r="E81" s="725"/>
      <c r="F81" s="72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724" t="str">
        <f>IF(基本情報入力シート!B110="","",基本情報入力シート!B110)</f>
        <v/>
      </c>
      <c r="C82" s="725"/>
      <c r="D82" s="725"/>
      <c r="E82" s="725"/>
      <c r="F82" s="72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724" t="str">
        <f>IF(基本情報入力シート!B111="","",基本情報入力シート!B111)</f>
        <v/>
      </c>
      <c r="C83" s="725"/>
      <c r="D83" s="725"/>
      <c r="E83" s="725"/>
      <c r="F83" s="72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724" t="str">
        <f>IF(基本情報入力シート!B112="","",基本情報入力シート!B112)</f>
        <v/>
      </c>
      <c r="C84" s="725"/>
      <c r="D84" s="725"/>
      <c r="E84" s="725"/>
      <c r="F84" s="72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724" t="str">
        <f>IF(基本情報入力シート!B113="","",基本情報入力シート!B113)</f>
        <v/>
      </c>
      <c r="C85" s="725"/>
      <c r="D85" s="725"/>
      <c r="E85" s="725"/>
      <c r="F85" s="72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724" t="str">
        <f>IF(基本情報入力シート!B114="","",基本情報入力シート!B114)</f>
        <v/>
      </c>
      <c r="C86" s="725"/>
      <c r="D86" s="725"/>
      <c r="E86" s="725"/>
      <c r="F86" s="72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724" t="str">
        <f>IF(基本情報入力シート!B115="","",基本情報入力シート!B115)</f>
        <v/>
      </c>
      <c r="C87" s="725"/>
      <c r="D87" s="725"/>
      <c r="E87" s="725"/>
      <c r="F87" s="72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724" t="str">
        <f>IF(基本情報入力シート!B116="","",基本情報入力シート!B116)</f>
        <v/>
      </c>
      <c r="C88" s="725"/>
      <c r="D88" s="725"/>
      <c r="E88" s="725"/>
      <c r="F88" s="72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724" t="str">
        <f>IF(基本情報入力シート!B117="","",基本情報入力シート!B117)</f>
        <v/>
      </c>
      <c r="C89" s="725"/>
      <c r="D89" s="725"/>
      <c r="E89" s="725"/>
      <c r="F89" s="72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724" t="str">
        <f>IF(基本情報入力シート!B118="","",基本情報入力シート!B118)</f>
        <v/>
      </c>
      <c r="C90" s="725"/>
      <c r="D90" s="725"/>
      <c r="E90" s="725"/>
      <c r="F90" s="72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724" t="str">
        <f>IF(基本情報入力シート!B119="","",基本情報入力シート!B119)</f>
        <v/>
      </c>
      <c r="C91" s="725"/>
      <c r="D91" s="725"/>
      <c r="E91" s="725"/>
      <c r="F91" s="72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724" t="str">
        <f>IF(基本情報入力シート!B120="","",基本情報入力シート!B120)</f>
        <v/>
      </c>
      <c r="C92" s="725"/>
      <c r="D92" s="725"/>
      <c r="E92" s="725"/>
      <c r="F92" s="72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724" t="str">
        <f>IF(基本情報入力シート!B121="","",基本情報入力シート!B121)</f>
        <v/>
      </c>
      <c r="C93" s="725"/>
      <c r="D93" s="725"/>
      <c r="E93" s="725"/>
      <c r="F93" s="72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724" t="str">
        <f>IF(基本情報入力シート!B122="","",基本情報入力シート!B122)</f>
        <v/>
      </c>
      <c r="C94" s="725"/>
      <c r="D94" s="725"/>
      <c r="E94" s="725"/>
      <c r="F94" s="72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724" t="str">
        <f>IF(基本情報入力シート!B123="","",基本情報入力シート!B123)</f>
        <v/>
      </c>
      <c r="C95" s="725"/>
      <c r="D95" s="725"/>
      <c r="E95" s="725"/>
      <c r="F95" s="72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724" t="str">
        <f>IF(基本情報入力シート!B124="","",基本情報入力シート!B124)</f>
        <v/>
      </c>
      <c r="C96" s="725"/>
      <c r="D96" s="725"/>
      <c r="E96" s="725"/>
      <c r="F96" s="72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724" t="str">
        <f>IF(基本情報入力シート!B125="","",基本情報入力シート!B125)</f>
        <v/>
      </c>
      <c r="C97" s="725"/>
      <c r="D97" s="725"/>
      <c r="E97" s="725"/>
      <c r="F97" s="72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724" t="str">
        <f>IF(基本情報入力シート!B126="","",基本情報入力シート!B126)</f>
        <v/>
      </c>
      <c r="C98" s="725"/>
      <c r="D98" s="725"/>
      <c r="E98" s="725"/>
      <c r="F98" s="72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724" t="str">
        <f>IF(基本情報入力シート!B127="","",基本情報入力シート!B127)</f>
        <v/>
      </c>
      <c r="C99" s="725"/>
      <c r="D99" s="725"/>
      <c r="E99" s="725"/>
      <c r="F99" s="72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724" t="str">
        <f>IF(基本情報入力シート!B128="","",基本情報入力シート!B128)</f>
        <v/>
      </c>
      <c r="C100" s="725"/>
      <c r="D100" s="725"/>
      <c r="E100" s="725"/>
      <c r="F100" s="72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724" t="str">
        <f>IF(基本情報入力シート!B129="","",基本情報入力シート!B129)</f>
        <v/>
      </c>
      <c r="C101" s="725"/>
      <c r="D101" s="725"/>
      <c r="E101" s="725"/>
      <c r="F101" s="72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724" t="str">
        <f>IF(基本情報入力シート!B130="","",基本情報入力シート!B130)</f>
        <v/>
      </c>
      <c r="C102" s="725"/>
      <c r="D102" s="725"/>
      <c r="E102" s="725"/>
      <c r="F102" s="72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724" t="str">
        <f>IF(基本情報入力シート!B131="","",基本情報入力シート!B131)</f>
        <v/>
      </c>
      <c r="C103" s="725"/>
      <c r="D103" s="725"/>
      <c r="E103" s="725"/>
      <c r="F103" s="72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724" t="str">
        <f>IF(基本情報入力シート!B132="","",基本情報入力シート!B132)</f>
        <v/>
      </c>
      <c r="C104" s="725"/>
      <c r="D104" s="725"/>
      <c r="E104" s="725"/>
      <c r="F104" s="72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724" t="str">
        <f>IF(基本情報入力シート!B133="","",基本情報入力シート!B133)</f>
        <v/>
      </c>
      <c r="C105" s="725"/>
      <c r="D105" s="725"/>
      <c r="E105" s="725"/>
      <c r="F105" s="72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724" t="str">
        <f>IF(基本情報入力シート!B134="","",基本情報入力シート!B134)</f>
        <v/>
      </c>
      <c r="C106" s="725"/>
      <c r="D106" s="725"/>
      <c r="E106" s="725"/>
      <c r="F106" s="72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724" t="str">
        <f>IF(基本情報入力シート!B135="","",基本情報入力シート!B135)</f>
        <v/>
      </c>
      <c r="C107" s="725"/>
      <c r="D107" s="725"/>
      <c r="E107" s="725"/>
      <c r="F107" s="72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724" t="str">
        <f>IF(基本情報入力シート!B136="","",基本情報入力シート!B136)</f>
        <v/>
      </c>
      <c r="C108" s="725"/>
      <c r="D108" s="725"/>
      <c r="E108" s="725"/>
      <c r="F108" s="72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724" t="str">
        <f>IF(基本情報入力シート!B137="","",基本情報入力シート!B137)</f>
        <v/>
      </c>
      <c r="C109" s="725"/>
      <c r="D109" s="725"/>
      <c r="E109" s="725"/>
      <c r="F109" s="72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724" t="str">
        <f>IF(基本情報入力シート!B138="","",基本情報入力シート!B138)</f>
        <v/>
      </c>
      <c r="C110" s="725"/>
      <c r="D110" s="725"/>
      <c r="E110" s="725"/>
      <c r="F110" s="72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727" t="str">
        <f>IF(基本情報入力シート!B139="","",基本情報入力シート!B139)</f>
        <v/>
      </c>
      <c r="C111" s="728"/>
      <c r="D111" s="728"/>
      <c r="E111" s="728"/>
      <c r="F111" s="72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60" zoomScaleNormal="85"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茨城県</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763" t="s">
        <v>53</v>
      </c>
      <c r="B3" s="763"/>
      <c r="C3" s="764"/>
      <c r="D3" s="765" t="str">
        <f>IF(基本情報入力シート!L16="","",基本情報入力シート!L16)</f>
        <v>社会福祉法人　長福</v>
      </c>
      <c r="E3" s="766"/>
      <c r="F3" s="766"/>
      <c r="G3" s="766"/>
      <c r="H3" s="766"/>
      <c r="I3" s="766"/>
      <c r="J3" s="76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30" t="s">
        <v>218</v>
      </c>
      <c r="AF4" s="730"/>
      <c r="AG4" s="730"/>
      <c r="AH4" s="730"/>
      <c r="AI4" s="730"/>
      <c r="AJ4" s="730"/>
      <c r="AK4" s="519"/>
      <c r="AL4" s="519"/>
      <c r="AM4" s="519"/>
      <c r="AN4" s="519"/>
      <c r="AO4" s="519"/>
      <c r="AS4" s="519"/>
      <c r="BO4" s="517"/>
      <c r="BP4" s="518"/>
      <c r="BQ4" s="518"/>
      <c r="BR4" s="518"/>
      <c r="BS4" s="518"/>
    </row>
    <row r="5" spans="1:72" ht="51" customHeight="1" thickBot="1">
      <c r="A5" s="795" t="s">
        <v>277</v>
      </c>
      <c r="B5" s="796"/>
      <c r="C5" s="796"/>
      <c r="D5" s="796"/>
      <c r="E5" s="796"/>
      <c r="F5" s="796"/>
      <c r="G5" s="796"/>
      <c r="H5" s="796"/>
      <c r="I5" s="796"/>
      <c r="J5" s="797"/>
      <c r="K5" s="470" t="s">
        <v>278</v>
      </c>
      <c r="L5" s="787" t="s">
        <v>279</v>
      </c>
      <c r="M5" s="787"/>
      <c r="N5" s="471" t="s">
        <v>280</v>
      </c>
      <c r="O5" s="472"/>
      <c r="P5" s="432"/>
      <c r="Q5" s="406"/>
      <c r="R5" s="407"/>
      <c r="S5" s="284"/>
      <c r="T5" s="408"/>
      <c r="U5" s="408"/>
      <c r="V5" s="408"/>
      <c r="W5" s="408"/>
      <c r="X5" s="408"/>
      <c r="Y5" s="408"/>
      <c r="Z5" s="408"/>
      <c r="AA5" s="408"/>
      <c r="AB5" s="408"/>
      <c r="AC5" s="408"/>
      <c r="AD5" s="409"/>
      <c r="AE5" s="731" t="s">
        <v>220</v>
      </c>
      <c r="AF5" s="732"/>
      <c r="AG5" s="732"/>
      <c r="AH5" s="732"/>
      <c r="AI5" s="733"/>
      <c r="AJ5" s="433">
        <f>COUNTIF(AU:AU,"対象")</f>
        <v>35</v>
      </c>
      <c r="AK5" s="522"/>
      <c r="AL5" s="522"/>
      <c r="AM5" s="522"/>
      <c r="AN5" s="522"/>
      <c r="AO5" s="523"/>
      <c r="AP5" s="524"/>
      <c r="AQ5" s="524"/>
      <c r="AS5" s="523"/>
      <c r="BO5" s="517"/>
      <c r="BP5" s="518"/>
      <c r="BQ5" s="518"/>
      <c r="BR5" s="518"/>
      <c r="BS5" s="518"/>
    </row>
    <row r="6" spans="1:72" ht="35.25" customHeight="1" thickBot="1">
      <c r="A6" s="789" t="s">
        <v>219</v>
      </c>
      <c r="B6" s="790"/>
      <c r="C6" s="790"/>
      <c r="D6" s="790"/>
      <c r="E6" s="790"/>
      <c r="F6" s="790"/>
      <c r="G6" s="790"/>
      <c r="H6" s="790"/>
      <c r="I6" s="790"/>
      <c r="J6" s="791"/>
      <c r="K6" s="473">
        <f>IFERROR(SUM($AB:$AB),"")</f>
        <v>603988260</v>
      </c>
      <c r="L6" s="788">
        <f>IFERROR(SUMIF($AN$12:$AN$111,"加算対象",$AB12:$AB111),"")</f>
        <v>590703960</v>
      </c>
      <c r="M6" s="788"/>
      <c r="N6" s="474">
        <f>IFERROR(SUMIF($AN$12:$AN$111,"加算対象外",$AB12:$AB111),"")</f>
        <v>13284300</v>
      </c>
      <c r="O6" s="431" t="s">
        <v>61</v>
      </c>
      <c r="P6" s="432"/>
      <c r="Q6" s="406"/>
      <c r="R6" s="407"/>
      <c r="S6" s="284"/>
      <c r="T6" s="408"/>
      <c r="U6" s="408"/>
      <c r="V6" s="408"/>
      <c r="W6" s="408"/>
      <c r="X6" s="408"/>
      <c r="Y6" s="408"/>
      <c r="Z6" s="408"/>
      <c r="AA6" s="408"/>
      <c r="AB6" s="408"/>
      <c r="AC6" s="408"/>
      <c r="AD6" s="409"/>
      <c r="AE6" s="731" t="s">
        <v>222</v>
      </c>
      <c r="AF6" s="732"/>
      <c r="AG6" s="732"/>
      <c r="AH6" s="732"/>
      <c r="AI6" s="733"/>
      <c r="AJ6" s="435">
        <f>SUM(AG12:AG111)</f>
        <v>19</v>
      </c>
      <c r="AK6" s="523"/>
      <c r="AL6" s="523"/>
      <c r="AM6" s="523"/>
      <c r="AN6" s="523"/>
      <c r="AO6" s="523"/>
      <c r="AP6" s="524"/>
      <c r="AQ6" s="524"/>
      <c r="AS6" s="523"/>
      <c r="AV6" s="525"/>
      <c r="AW6" s="525"/>
      <c r="AX6" s="525"/>
      <c r="AY6" s="783"/>
      <c r="AZ6" s="783"/>
      <c r="BA6" s="783"/>
      <c r="BB6" s="783"/>
      <c r="BC6" s="783"/>
      <c r="BD6" s="783"/>
      <c r="BE6" s="783"/>
      <c r="BF6" s="783"/>
      <c r="BG6" s="783"/>
      <c r="BH6" s="783"/>
      <c r="BI6" s="783"/>
      <c r="BJ6" s="783"/>
      <c r="BK6" s="783"/>
      <c r="BL6" s="783"/>
      <c r="BM6" s="783"/>
      <c r="BN6" s="526"/>
      <c r="BO6" s="783"/>
      <c r="BP6" s="783"/>
      <c r="BQ6" s="783"/>
      <c r="BR6" s="783"/>
      <c r="BS6" s="783"/>
    </row>
    <row r="7" spans="1:72" ht="35.25" customHeight="1" thickBot="1">
      <c r="A7" s="475"/>
      <c r="B7" s="792" t="s">
        <v>221</v>
      </c>
      <c r="C7" s="793"/>
      <c r="D7" s="793"/>
      <c r="E7" s="793"/>
      <c r="F7" s="793"/>
      <c r="G7" s="793"/>
      <c r="H7" s="793"/>
      <c r="I7" s="793"/>
      <c r="J7" s="794"/>
      <c r="K7" s="473">
        <f>IFERROR(SUM($AC:$AC),"")</f>
        <v>208719845</v>
      </c>
      <c r="L7" s="788">
        <f>IFERROR(SUMIF($AN$12:$AN$111,"加算対象",$AC12:$AC111),"")</f>
        <v>208719845</v>
      </c>
      <c r="M7" s="788"/>
      <c r="N7" s="476"/>
      <c r="O7" s="431" t="s">
        <v>61</v>
      </c>
      <c r="P7" s="432"/>
      <c r="Q7" s="406"/>
      <c r="R7" s="407"/>
      <c r="S7" s="284"/>
      <c r="T7" s="408"/>
      <c r="U7" s="408"/>
      <c r="V7" s="408"/>
      <c r="W7" s="408"/>
      <c r="X7" s="408"/>
      <c r="Y7" s="408"/>
      <c r="Z7" s="408"/>
      <c r="AA7" s="408"/>
      <c r="AB7" s="408"/>
      <c r="AC7" s="408"/>
      <c r="AD7" s="409"/>
      <c r="AE7" s="731" t="s">
        <v>224</v>
      </c>
      <c r="AF7" s="732"/>
      <c r="AG7" s="732"/>
      <c r="AH7" s="732"/>
      <c r="AI7" s="733"/>
      <c r="AJ7" s="435">
        <f>COUNTIF(AH:AH,"令和８年度特例要件を満たす")</f>
        <v>4</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780"/>
      <c r="AS8" s="780"/>
      <c r="AT8" s="780"/>
      <c r="AU8" s="780"/>
      <c r="AV8" s="780"/>
      <c r="AW8" s="780"/>
      <c r="AX8" s="780"/>
      <c r="AY8" s="780"/>
      <c r="AZ8" s="527"/>
      <c r="BA8" s="780"/>
      <c r="BB8" s="780"/>
      <c r="BC8" s="780"/>
      <c r="BD8" s="780"/>
      <c r="BE8" s="780"/>
      <c r="BF8" s="780"/>
      <c r="BG8" s="780"/>
      <c r="BH8" s="780"/>
      <c r="BI8" s="780"/>
      <c r="BJ8" s="527"/>
      <c r="BK8" s="780"/>
      <c r="BL8" s="780"/>
      <c r="BM8" s="780"/>
      <c r="BN8" s="780"/>
      <c r="BO8" s="780"/>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781" t="str">
        <f>IF(D3="", "", IFERROR(IF(COUNTIF(AP12:AP111,"未入力")=0,"○","×"),""))</f>
        <v>○</v>
      </c>
      <c r="AD9" s="782"/>
      <c r="AE9" s="443" t="str">
        <f>IF(D3="", "", IFERROR(IF(COUNTIF(AR:AR,"未入力")=0,"○","×"),""))</f>
        <v>○</v>
      </c>
      <c r="AF9" s="443" t="str">
        <f>IF(D3="", "", IFERROR(IF(COUNTIF(AT:AT,"未入力")=0,"○","×"),""))</f>
        <v>○</v>
      </c>
      <c r="AG9" s="781" t="str">
        <f>IF(D3="", "", IFERROR(IF(COUNTIF(AX:AX,"未入力")=0,"○","×"),""))</f>
        <v>○</v>
      </c>
      <c r="AH9" s="782"/>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752"/>
      <c r="B10" s="754" t="s">
        <v>225</v>
      </c>
      <c r="C10" s="755"/>
      <c r="D10" s="755"/>
      <c r="E10" s="755"/>
      <c r="F10" s="756"/>
      <c r="G10" s="760" t="s">
        <v>39</v>
      </c>
      <c r="H10" s="773" t="s">
        <v>40</v>
      </c>
      <c r="I10" s="773"/>
      <c r="J10" s="774" t="s">
        <v>226</v>
      </c>
      <c r="K10" s="776" t="s">
        <v>42</v>
      </c>
      <c r="L10" s="745" t="s">
        <v>227</v>
      </c>
      <c r="M10" s="747" t="s">
        <v>228</v>
      </c>
      <c r="N10" s="798" t="s">
        <v>281</v>
      </c>
      <c r="O10" s="800" t="s">
        <v>230</v>
      </c>
      <c r="P10" s="735" t="s">
        <v>282</v>
      </c>
      <c r="Q10" s="736"/>
      <c r="R10" s="736"/>
      <c r="S10" s="736"/>
      <c r="T10" s="736"/>
      <c r="U10" s="736"/>
      <c r="V10" s="736"/>
      <c r="W10" s="736"/>
      <c r="X10" s="736"/>
      <c r="Y10" s="736"/>
      <c r="Z10" s="736"/>
      <c r="AA10" s="737"/>
      <c r="AB10" s="741" t="s">
        <v>232</v>
      </c>
      <c r="AC10" s="743" t="s">
        <v>233</v>
      </c>
      <c r="AD10" s="744"/>
      <c r="AE10" s="445" t="s">
        <v>234</v>
      </c>
      <c r="AF10" s="445" t="s">
        <v>235</v>
      </c>
      <c r="AG10" s="762" t="s">
        <v>236</v>
      </c>
      <c r="AH10" s="744"/>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753"/>
      <c r="B11" s="757"/>
      <c r="C11" s="758"/>
      <c r="D11" s="758"/>
      <c r="E11" s="758"/>
      <c r="F11" s="759"/>
      <c r="G11" s="761"/>
      <c r="H11" s="448" t="s">
        <v>240</v>
      </c>
      <c r="I11" s="448" t="s">
        <v>241</v>
      </c>
      <c r="J11" s="775"/>
      <c r="K11" s="777"/>
      <c r="L11" s="746"/>
      <c r="M11" s="748"/>
      <c r="N11" s="799"/>
      <c r="O11" s="801"/>
      <c r="P11" s="738"/>
      <c r="Q11" s="739"/>
      <c r="R11" s="739"/>
      <c r="S11" s="739"/>
      <c r="T11" s="739"/>
      <c r="U11" s="739"/>
      <c r="V11" s="739"/>
      <c r="W11" s="739"/>
      <c r="X11" s="739"/>
      <c r="Y11" s="739"/>
      <c r="Z11" s="739"/>
      <c r="AA11" s="740"/>
      <c r="AB11" s="742"/>
      <c r="AC11" s="449" t="s">
        <v>242</v>
      </c>
      <c r="AD11" s="450" t="s">
        <v>243</v>
      </c>
      <c r="AE11" s="451" t="s">
        <v>244</v>
      </c>
      <c r="AF11" s="452" t="s">
        <v>245</v>
      </c>
      <c r="AG11" s="452" t="s">
        <v>246</v>
      </c>
      <c r="AH11" s="477" t="s">
        <v>247</v>
      </c>
      <c r="AI11" s="454" t="s">
        <v>248</v>
      </c>
      <c r="AJ11" s="455" t="s">
        <v>249</v>
      </c>
      <c r="AK11" s="778" t="s">
        <v>250</v>
      </c>
      <c r="AL11" s="779"/>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724" t="str">
        <f>IF(基本情報入力シート!B40="","",基本情報入力シート!B40)</f>
        <v>0811111111</v>
      </c>
      <c r="C12" s="725"/>
      <c r="D12" s="725"/>
      <c r="E12" s="725"/>
      <c r="F12" s="726"/>
      <c r="G12" s="457" t="str">
        <f>IF(基本情報入力シート!L40="", "", 基本情報入力シート!L40)</f>
        <v>水戸市</v>
      </c>
      <c r="H12" s="457" t="str">
        <f>IF(基本情報入力シート!Q40="", "", 基本情報入力シート!Q40)</f>
        <v>茨城県</v>
      </c>
      <c r="I12" s="457" t="str">
        <f>IF(基本情報入力シート!V40="", "", 基本情報入力シート!V40)</f>
        <v>水戸市</v>
      </c>
      <c r="J12" s="457" t="str">
        <f>IF(基本情報入力シート!W40="", "", 基本情報入力シート!W40)</f>
        <v>訪問介護事業所　○○</v>
      </c>
      <c r="K12" s="457" t="str">
        <f>IF(基本情報入力シート!Z40="", "", 基本情報入力シート!Z40)</f>
        <v>訪問介護</v>
      </c>
      <c r="L12" s="101">
        <f>IF(基本情報入力シート!AF40=0, "",基本情報入力シート!AF40)</f>
        <v>776000</v>
      </c>
      <c r="M12" s="142">
        <f>IF(AND(基本情報入力シート!AG40="",基本情報入力シート!AG40=""), "", 基本情報入力シート!AG40)</f>
        <v>10.7</v>
      </c>
      <c r="N12" s="136" t="s">
        <v>2599</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23830180</v>
      </c>
      <c r="AC12" s="462">
        <f>IFERROR(ROUNDDOWN(ROUNDDOWN(ROUND(L12*VLOOKUP(K12,【参考】数式用!$A$2:$M$57,MATCH("処遇改善加算Ⅳ",【参考】数式用!$G$3:$M$3,0)+6,0),0)*M12,0)*Z12*0.5,0), "")</f>
        <v>7057720</v>
      </c>
      <c r="AD12" s="156" t="s">
        <v>2596</v>
      </c>
      <c r="AE12" s="157" t="s">
        <v>2596</v>
      </c>
      <c r="AF12" s="157" t="s">
        <v>2596</v>
      </c>
      <c r="AG12" s="158">
        <v>0</v>
      </c>
      <c r="AH12" s="159" t="s">
        <v>569</v>
      </c>
      <c r="AI12" s="160" t="s">
        <v>389</v>
      </c>
      <c r="AJ12" s="161" t="s">
        <v>2597</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AH列に色付け</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水戸市</v>
      </c>
      <c r="BJ12" s="536">
        <f>IF(COUNTIF(BG:BG,"*入力必要*"),1,0)</f>
        <v>1</v>
      </c>
      <c r="BK12" s="536" t="str">
        <f>IF(D3="", "", IF(SUM(AJ6:AJ7)&gt;=AJ5,"○","×"))</f>
        <v>×</v>
      </c>
      <c r="BL12" s="536">
        <f>IF(COUNTIF(AH$12:AH$1048576,"*その他（小規模等により適用除外）*"),1,0)</f>
        <v>1</v>
      </c>
      <c r="BM12" s="518"/>
      <c r="BN12" s="518"/>
      <c r="BO12" s="518"/>
      <c r="BP12" s="518"/>
      <c r="BQ12" s="552"/>
      <c r="BR12" s="518"/>
      <c r="BS12" s="518"/>
    </row>
    <row r="13" spans="1:72" s="553" customFormat="1" ht="109.95" customHeight="1" thickBot="1">
      <c r="A13" s="456">
        <v>2</v>
      </c>
      <c r="B13" s="724" t="str">
        <f>IF(基本情報入力シート!B41="","",基本情報入力シート!B41)</f>
        <v>0811111111</v>
      </c>
      <c r="C13" s="725"/>
      <c r="D13" s="725"/>
      <c r="E13" s="725"/>
      <c r="F13" s="726"/>
      <c r="G13" s="457" t="str">
        <f>IF(基本情報入力シート!L41="", "", 基本情報入力シート!L41)</f>
        <v>水戸市</v>
      </c>
      <c r="H13" s="457" t="str">
        <f>IF(基本情報入力シート!Q41="", "", 基本情報入力シート!Q41)</f>
        <v>茨城県</v>
      </c>
      <c r="I13" s="457" t="str">
        <f>IF(基本情報入力シート!V41="", "", 基本情報入力シート!V41)</f>
        <v>水戸市</v>
      </c>
      <c r="J13" s="457" t="str">
        <f>IF(基本情報入力シート!W41="", "", 基本情報入力シート!W41)</f>
        <v>訪問介護事業所　○○</v>
      </c>
      <c r="K13" s="457" t="str">
        <f>IF(基本情報入力シート!Z41="", "", 基本情報入力シート!Z41)</f>
        <v>訪問型サービス（独自）</v>
      </c>
      <c r="L13" s="101">
        <f>IF(基本情報入力シート!AF41=0, "",基本情報入力シート!AF41)</f>
        <v>776000</v>
      </c>
      <c r="M13" s="142">
        <f>IF(AND(基本情報入力シート!AG41="",基本情報入力シート!AG41=""), "", 基本情報入力シート!AG41)</f>
        <v>10.7</v>
      </c>
      <c r="N13" s="136" t="s">
        <v>2599</v>
      </c>
      <c r="O13" s="155">
        <f>IFERROR(VLOOKUP(K13,【参考】数式用!$A$2:$M$57,MATCH(N13,【参考】数式用!$G$3:$M$3,0)+6,0),"")</f>
        <v>0.28699999999999998</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23830180</v>
      </c>
      <c r="AC13" s="462">
        <f>IFERROR(ROUNDDOWN(ROUNDDOWN(ROUND(L13*VLOOKUP(K13,【参考】数式用!$A$2:$M$57,MATCH("処遇改善加算Ⅳ",【参考】数式用!$G$3:$M$3,0)+6,0),0)*M13,0)*Z13*0.5,0), "")</f>
        <v>7057720</v>
      </c>
      <c r="AD13" s="156" t="s">
        <v>2596</v>
      </c>
      <c r="AE13" s="157" t="s">
        <v>2596</v>
      </c>
      <c r="AF13" s="157" t="s">
        <v>2596</v>
      </c>
      <c r="AG13" s="158">
        <v>0</v>
      </c>
      <c r="AH13" s="159" t="s">
        <v>569</v>
      </c>
      <c r="AI13" s="160" t="s">
        <v>389</v>
      </c>
      <c r="AJ13" s="161" t="s">
        <v>2597</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訪問型サービス_独自_Ⅴ</v>
      </c>
      <c r="AZ13" s="548" t="str">
        <f t="shared" ref="AZ13:AZ77" si="8">IF(AND(AN13="加算対象",OR(N13="処遇改善加算Ⅰイ",N13="処遇改善加算Ⅰロ")),"AI列に色付け","")</f>
        <v>AI列に色付け</v>
      </c>
      <c r="BA13" s="551" t="str">
        <f>IF(AND(OR(N13="処遇改善加算Ⅰイ",N13="処遇改善加算Ⅰロ"), AI13=""), "未入力","入力済")</f>
        <v>入力済</v>
      </c>
      <c r="BB13" s="550" t="str">
        <f>IFERROR(VLOOKUP(K13,【参考】数式用!$AX$3:$AY$56, 2, FALSE), "")</f>
        <v>訪問型サービス_独自_R8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水戸市</v>
      </c>
      <c r="BJ13" s="516"/>
      <c r="BK13" s="516"/>
      <c r="BL13" s="516"/>
      <c r="BM13" s="516"/>
      <c r="BN13" s="516"/>
      <c r="BO13" s="516"/>
      <c r="BP13" s="516"/>
      <c r="BQ13" s="516"/>
      <c r="BR13" s="516"/>
      <c r="BS13" s="517"/>
      <c r="BT13" s="518"/>
    </row>
    <row r="14" spans="1:72" s="553" customFormat="1" ht="109.95" customHeight="1" thickBot="1">
      <c r="A14" s="456">
        <v>3</v>
      </c>
      <c r="B14" s="724" t="str">
        <f>IF(基本情報入力シート!B42="","",基本情報入力シート!B42)</f>
        <v>0811111111</v>
      </c>
      <c r="C14" s="725"/>
      <c r="D14" s="725"/>
      <c r="E14" s="725"/>
      <c r="F14" s="726"/>
      <c r="G14" s="457" t="str">
        <f>IF(基本情報入力シート!L42="", "", 基本情報入力シート!L42)</f>
        <v>水戸市</v>
      </c>
      <c r="H14" s="457" t="str">
        <f>IF(基本情報入力シート!Q42="", "", 基本情報入力シート!Q42)</f>
        <v>茨城県</v>
      </c>
      <c r="I14" s="457" t="str">
        <f>IF(基本情報入力シート!V42="", "", 基本情報入力シート!V42)</f>
        <v>水戸市</v>
      </c>
      <c r="J14" s="457" t="str">
        <f>IF(基本情報入力シート!W42="", "", 基本情報入力シート!W42)</f>
        <v>訪問介護事業所　○○</v>
      </c>
      <c r="K14" s="457" t="str">
        <f>IF(基本情報入力シート!Z42="", "", 基本情報入力シート!Z42)</f>
        <v>訪問型サービス（独自／定率）</v>
      </c>
      <c r="L14" s="101">
        <f>IF(基本情報入力シート!AF42=0, "",基本情報入力シート!AF42)</f>
        <v>776000</v>
      </c>
      <c r="M14" s="142">
        <f>IF(AND(基本情報入力シート!AG42="",基本情報入力シート!AG42=""), "", 基本情報入力シート!AG42)</f>
        <v>10.7</v>
      </c>
      <c r="N14" s="136" t="s">
        <v>2599</v>
      </c>
      <c r="O14" s="155">
        <f>IFERROR(VLOOKUP(K14,【参考】数式用!$A$2:$M$57,MATCH(N14,【参考】数式用!$G$3:$M$3,0)+6,0),"")</f>
        <v>0.28699999999999998</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23830180</v>
      </c>
      <c r="AC14" s="462">
        <f>IFERROR(ROUNDDOWN(ROUNDDOWN(ROUND(L14*VLOOKUP(K14,【参考】数式用!$A$2:$M$57,MATCH("処遇改善加算Ⅳ",【参考】数式用!$G$3:$M$3,0)+6,0),0)*M14,0)*Z14*0.5,0), "")</f>
        <v>7057720</v>
      </c>
      <c r="AD14" s="156" t="s">
        <v>2596</v>
      </c>
      <c r="AE14" s="157" t="s">
        <v>2596</v>
      </c>
      <c r="AF14" s="157" t="s">
        <v>2596</v>
      </c>
      <c r="AG14" s="158">
        <v>0</v>
      </c>
      <c r="AH14" s="159" t="s">
        <v>569</v>
      </c>
      <c r="AI14" s="160" t="s">
        <v>389</v>
      </c>
      <c r="AJ14" s="161" t="s">
        <v>2597</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対象</v>
      </c>
      <c r="AV14" s="550">
        <f t="shared" si="5"/>
        <v>1</v>
      </c>
      <c r="AW14" s="548" t="str">
        <f t="shared" si="6"/>
        <v>AH列に色付け</v>
      </c>
      <c r="AX14" s="548" t="str">
        <f t="shared" si="7"/>
        <v>入力済</v>
      </c>
      <c r="AY14" s="550" t="str">
        <f>IFERROR(VLOOKUP(K14,【参考】数式用!$AR$3:$AS$49, 2, FALSE), "")</f>
        <v>訪問型サービス_独自_定率_Ⅴ</v>
      </c>
      <c r="AZ14" s="548" t="str">
        <f t="shared" si="8"/>
        <v>AI列に色付け</v>
      </c>
      <c r="BA14" s="551" t="str">
        <f t="shared" ref="BA14:BA77" si="21">IF(AND(OR(N14="処遇改善加算Ⅰイ",N14="処遇改善加算Ⅰロ"), AI14=""), "未入力","入力済")</f>
        <v>入力済</v>
      </c>
      <c r="BB14" s="550" t="str">
        <f>IFERROR(VLOOKUP(K14,【参考】数式用!$AX$3:$AY$56, 2, FALSE), "")</f>
        <v>訪問型サービス_独自_定率_R8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水戸市</v>
      </c>
      <c r="BJ14" s="516"/>
      <c r="BK14" s="516"/>
      <c r="BL14" s="516"/>
      <c r="BM14" s="516"/>
      <c r="BN14" s="516"/>
      <c r="BO14" s="516"/>
      <c r="BP14" s="516"/>
      <c r="BQ14" s="516"/>
      <c r="BR14" s="516"/>
      <c r="BS14" s="517"/>
      <c r="BT14" s="518"/>
    </row>
    <row r="15" spans="1:72" s="553" customFormat="1" ht="109.95" customHeight="1" thickBot="1">
      <c r="A15" s="456">
        <v>4</v>
      </c>
      <c r="B15" s="724" t="str">
        <f>IF(基本情報入力シート!B43="","",基本情報入力シート!B43)</f>
        <v>0811111111</v>
      </c>
      <c r="C15" s="725"/>
      <c r="D15" s="725"/>
      <c r="E15" s="725"/>
      <c r="F15" s="726"/>
      <c r="G15" s="457" t="str">
        <f>IF(基本情報入力シート!L43="", "", 基本情報入力シート!L43)</f>
        <v>水戸市</v>
      </c>
      <c r="H15" s="457" t="str">
        <f>IF(基本情報入力シート!Q43="", "", 基本情報入力シート!Q43)</f>
        <v>茨城県</v>
      </c>
      <c r="I15" s="457" t="str">
        <f>IF(基本情報入力シート!V43="", "", 基本情報入力シート!V43)</f>
        <v>水戸市</v>
      </c>
      <c r="J15" s="457" t="str">
        <f>IF(基本情報入力シート!W43="", "", 基本情報入力シート!W43)</f>
        <v>訪問介護事業所　○○</v>
      </c>
      <c r="K15" s="457" t="str">
        <f>IF(基本情報入力シート!Z43="", "", 基本情報入力シート!Z43)</f>
        <v>訪問型サービス（独自／定額）</v>
      </c>
      <c r="L15" s="101">
        <f>IF(基本情報入力シート!AF43=0, "",基本情報入力シート!AF43)</f>
        <v>776000</v>
      </c>
      <c r="M15" s="142">
        <f>IF(AND(基本情報入力シート!AG43="",基本情報入力シート!AG43=""), "", 基本情報入力シート!AG43)</f>
        <v>10.7</v>
      </c>
      <c r="N15" s="136" t="s">
        <v>2599</v>
      </c>
      <c r="O15" s="155">
        <f>IFERROR(VLOOKUP(K15,【参考】数式用!$A$2:$M$57,MATCH(N15,【参考】数式用!$G$3:$M$3,0)+6,0),"")</f>
        <v>0.28699999999999998</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f t="shared" ref="AB15" si="24">IFERROR(ROUNDDOWN(ROUND(L15*O15,0)*M15,0)*Z15,"")</f>
        <v>23830180</v>
      </c>
      <c r="AC15" s="462">
        <f>IFERROR(ROUNDDOWN(ROUNDDOWN(ROUND(L15*VLOOKUP(K15,【参考】数式用!$A$2:$M$57,MATCH("処遇改善加算Ⅳ",【参考】数式用!$G$3:$M$3,0)+6,0),0)*M15,0)*Z15*0.5,0), "")</f>
        <v>7057720</v>
      </c>
      <c r="AD15" s="156" t="s">
        <v>2596</v>
      </c>
      <c r="AE15" s="157" t="s">
        <v>2596</v>
      </c>
      <c r="AF15" s="157" t="s">
        <v>2596</v>
      </c>
      <c r="AG15" s="158">
        <v>0</v>
      </c>
      <c r="AH15" s="159" t="s">
        <v>569</v>
      </c>
      <c r="AI15" s="160" t="s">
        <v>389</v>
      </c>
      <c r="AJ15" s="161" t="s">
        <v>2597</v>
      </c>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入力済</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AF列に色付け</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対象</v>
      </c>
      <c r="AV15" s="550">
        <f t="shared" ref="AV15" si="33">IF(AND(AN15="加算対象",N15&lt;&gt;"処遇改善加算Ⅲ",N15&lt;&gt;"処遇改善加算Ⅳ", N15&lt;&gt;"", AU15&lt;&gt;"対象外"), 1,"")</f>
        <v>1</v>
      </c>
      <c r="AW15" s="548" t="str">
        <f t="shared" ref="AW15" si="34">IF(AND(AV15=1, OR(AG15=0,AG15=""),AN15="加算対象"),"AH列に色付け","")</f>
        <v>AH列に色付け</v>
      </c>
      <c r="AX15" s="548" t="str">
        <f t="shared" si="7"/>
        <v>入力済</v>
      </c>
      <c r="AY15" s="550" t="str">
        <f>IFERROR(VLOOKUP(K15,【参考】数式用!$AR$3:$AS$49, 2, FALSE), "")</f>
        <v>訪問型サービス_独自_定額_Ⅴ</v>
      </c>
      <c r="AZ15" s="548" t="str">
        <f t="shared" ref="AZ15" si="35">IF(AND(AN15="加算対象",OR(N15="処遇改善加算Ⅰイ",N15="処遇改善加算Ⅰロ")),"AI列に色付け","")</f>
        <v>AI列に色付け</v>
      </c>
      <c r="BA15" s="551" t="str">
        <f t="shared" ref="BA15" si="36">IF(AND(OR(N15="処遇改善加算Ⅰイ",N15="処遇改善加算Ⅰロ"), AI15=""), "未入力","入力済")</f>
        <v>入力済</v>
      </c>
      <c r="BB15" s="550" t="str">
        <f>IFERROR(VLOOKUP(K15,【参考】数式用!$AX$3:$AY$56, 2, FALSE), "")</f>
        <v>訪問型サービス_独自_定額_R8</v>
      </c>
      <c r="BC15" s="548" t="str">
        <f t="shared" si="9"/>
        <v>AJ列に色付け</v>
      </c>
      <c r="BD15" s="551" t="str">
        <f t="shared" si="22"/>
        <v>入力済</v>
      </c>
      <c r="BE15" s="551" t="str">
        <f t="shared" si="10"/>
        <v/>
      </c>
      <c r="BF15" s="551" t="str">
        <f t="shared" si="11"/>
        <v/>
      </c>
      <c r="BG15" s="551" t="str">
        <f t="shared" si="12"/>
        <v>入力必要</v>
      </c>
      <c r="BH15" s="551" t="str">
        <f t="shared" si="13"/>
        <v>入力済</v>
      </c>
      <c r="BI15" s="551" t="str">
        <f t="shared" ref="BI15" si="37">G15</f>
        <v>水戸市</v>
      </c>
      <c r="BJ15" s="516"/>
      <c r="BK15" s="516"/>
      <c r="BL15" s="516"/>
      <c r="BM15" s="516"/>
      <c r="BN15" s="516"/>
      <c r="BO15" s="516"/>
      <c r="BP15" s="516"/>
      <c r="BQ15" s="516"/>
      <c r="BR15" s="516"/>
      <c r="BS15" s="517"/>
      <c r="BT15" s="518"/>
    </row>
    <row r="16" spans="1:72" s="553" customFormat="1" ht="109.95" customHeight="1" thickBot="1">
      <c r="A16" s="456">
        <v>5</v>
      </c>
      <c r="B16" s="724" t="str">
        <f>IF(基本情報入力シート!B44="","",基本情報入力シート!B44)</f>
        <v>0811111112</v>
      </c>
      <c r="C16" s="725"/>
      <c r="D16" s="725"/>
      <c r="E16" s="725"/>
      <c r="F16" s="726"/>
      <c r="G16" s="457" t="str">
        <f>IF(基本情報入力シート!L44="", "", 基本情報入力シート!L44)</f>
        <v>日立市</v>
      </c>
      <c r="H16" s="457" t="str">
        <f>IF(基本情報入力シート!Q44="", "", 基本情報入力シート!Q44)</f>
        <v>茨城県</v>
      </c>
      <c r="I16" s="457" t="str">
        <f>IF(基本情報入力シート!V44="", "", 基本情報入力シート!V44)</f>
        <v>日立市</v>
      </c>
      <c r="J16" s="457" t="str">
        <f>IF(基本情報入力シート!W44="", "", 基本情報入力シート!W44)</f>
        <v>夜間対応型訪問介護事業所　○○</v>
      </c>
      <c r="K16" s="457" t="str">
        <f>IF(基本情報入力シート!Z44="", "", 基本情報入力シート!Z44)</f>
        <v>夜間対応型訪問介護</v>
      </c>
      <c r="L16" s="101">
        <f>IF(基本情報入力シート!AF44=0, "",基本情報入力シート!AF44)</f>
        <v>776000</v>
      </c>
      <c r="M16" s="142">
        <f>IF(AND(基本情報入力シート!AG44="",基本情報入力シート!AG44=""), "", 基本情報入力シート!AG44)</f>
        <v>10.7</v>
      </c>
      <c r="N16" s="136" t="s">
        <v>2598</v>
      </c>
      <c r="O16" s="155">
        <f>IFERROR(VLOOKUP(K16,【参考】数式用!$A$2:$M$57,MATCH(N16,【参考】数式用!$G$3:$M$3,0)+6,0),"")</f>
        <v>0.26700000000000002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22169540</v>
      </c>
      <c r="AC16" s="462">
        <f>IFERROR(ROUNDDOWN(ROUNDDOWN(ROUND(L16*VLOOKUP(K16,【参考】数式用!$A$2:$M$57,MATCH("処遇改善加算Ⅳ",【参考】数式用!$G$3:$M$3,0)+6,0),0)*M16,0)*Z16*0.5,0), "")</f>
        <v>6933170</v>
      </c>
      <c r="AD16" s="156" t="s">
        <v>2596</v>
      </c>
      <c r="AE16" s="157" t="s">
        <v>2596</v>
      </c>
      <c r="AF16" s="157" t="s">
        <v>421</v>
      </c>
      <c r="AG16" s="158">
        <v>0</v>
      </c>
      <c r="AH16" s="159" t="s">
        <v>421</v>
      </c>
      <c r="AI16" s="160" t="s">
        <v>403</v>
      </c>
      <c r="AJ16" s="161" t="s">
        <v>2597</v>
      </c>
      <c r="AK16" s="545" t="str">
        <f t="shared" si="17"/>
        <v/>
      </c>
      <c r="AL16" s="546" t="str">
        <f t="shared" si="0"/>
        <v/>
      </c>
      <c r="AM16" s="547"/>
      <c r="AN16" s="548" t="str">
        <f>IFERROR(VLOOKUP(K16,【参考】数式用!$A$2:$N$57,14,FALSE),"")</f>
        <v>加算対象</v>
      </c>
      <c r="AO16" s="548" t="str">
        <f t="shared" si="1"/>
        <v>N列に色付け</v>
      </c>
      <c r="AP16" s="549" t="str">
        <f t="shared" si="18"/>
        <v>入力済</v>
      </c>
      <c r="AQ16" s="549" t="str">
        <f t="shared" si="19"/>
        <v>キャリアパス要件Ⅰ・Ⅱ_加算対象</v>
      </c>
      <c r="AR16" s="550" t="str">
        <f t="shared" si="20"/>
        <v>入力済</v>
      </c>
      <c r="AS16" s="548" t="str">
        <f t="shared" si="2"/>
        <v>AF列に色付け</v>
      </c>
      <c r="AT16" s="550" t="str">
        <f t="shared" si="3"/>
        <v>入力済</v>
      </c>
      <c r="AU16" s="550" t="str">
        <f t="shared" si="4"/>
        <v>対象</v>
      </c>
      <c r="AV16" s="550">
        <f t="shared" si="5"/>
        <v>1</v>
      </c>
      <c r="AW16" s="548" t="str">
        <f t="shared" si="6"/>
        <v>AH列に色付け</v>
      </c>
      <c r="AX16" s="548" t="str">
        <f t="shared" si="7"/>
        <v>入力済</v>
      </c>
      <c r="AY16" s="550" t="str">
        <f>IFERROR(VLOOKUP(K16,【参考】数式用!$AR$3:$AS$49, 2, FALSE), "")</f>
        <v>夜間対応型訪問介護Ⅴ</v>
      </c>
      <c r="AZ16" s="548" t="str">
        <f t="shared" si="8"/>
        <v>AI列に色付け</v>
      </c>
      <c r="BA16" s="551" t="str">
        <f t="shared" si="21"/>
        <v>入力済</v>
      </c>
      <c r="BB16" s="550" t="str">
        <f>IFERROR(VLOOKUP(K16,【参考】数式用!$AX$3:$AY$56, 2, FALSE), "")</f>
        <v>夜間対応型訪問介護R8</v>
      </c>
      <c r="BC16" s="548" t="str">
        <f t="shared" si="9"/>
        <v>AJ列に色付け</v>
      </c>
      <c r="BD16" s="551" t="str">
        <f t="shared" si="22"/>
        <v>入力済</v>
      </c>
      <c r="BE16" s="551" t="str">
        <f t="shared" si="10"/>
        <v/>
      </c>
      <c r="BF16" s="551" t="str">
        <f t="shared" si="11"/>
        <v/>
      </c>
      <c r="BG16" s="551" t="str">
        <f t="shared" si="12"/>
        <v>入力必要</v>
      </c>
      <c r="BH16" s="551" t="str">
        <f t="shared" si="13"/>
        <v>入力済</v>
      </c>
      <c r="BI16" s="551" t="str">
        <f t="shared" si="14"/>
        <v>日立市</v>
      </c>
      <c r="BJ16" s="516"/>
      <c r="BK16" s="516"/>
      <c r="BL16" s="516"/>
      <c r="BM16" s="516"/>
      <c r="BN16" s="516"/>
      <c r="BO16" s="516"/>
      <c r="BP16" s="516"/>
      <c r="BQ16" s="516"/>
      <c r="BR16" s="516"/>
      <c r="BS16" s="517"/>
      <c r="BT16" s="518"/>
    </row>
    <row r="17" spans="1:61" s="553" customFormat="1" ht="109.95" customHeight="1" thickBot="1">
      <c r="A17" s="456">
        <v>6</v>
      </c>
      <c r="B17" s="724" t="str">
        <f>IF(基本情報入力シート!B45="","",基本情報入力シート!B45)</f>
        <v>0811111113</v>
      </c>
      <c r="C17" s="725"/>
      <c r="D17" s="725"/>
      <c r="E17" s="725"/>
      <c r="F17" s="726"/>
      <c r="G17" s="457" t="str">
        <f>IF(基本情報入力シート!L45="", "", 基本情報入力シート!L45)</f>
        <v>土浦市</v>
      </c>
      <c r="H17" s="457" t="str">
        <f>IF(基本情報入力シート!Q45="", "", 基本情報入力シート!Q45)</f>
        <v>茨城県</v>
      </c>
      <c r="I17" s="457" t="str">
        <f>IF(基本情報入力シート!V45="", "", 基本情報入力シート!V45)</f>
        <v>土浦市</v>
      </c>
      <c r="J17" s="457" t="str">
        <f>IF(基本情報入力シート!W45="", "", 基本情報入力シート!W45)</f>
        <v>定期巡回・随時対応型
訪問介護看護事業所　○○</v>
      </c>
      <c r="K17" s="457" t="str">
        <f>IF(基本情報入力シート!Z45="", "", 基本情報入力シート!Z45)</f>
        <v>定期巡回･随時対応型訪問介護看護</v>
      </c>
      <c r="L17" s="101">
        <f>IF(基本情報入力シート!AF45=0, "",基本情報入力シート!AF45)</f>
        <v>776000</v>
      </c>
      <c r="M17" s="142">
        <f>IF(AND(基本情報入力シート!AG45="",基本情報入力シート!AG45=""), "", 基本情報入力シート!AG45)</f>
        <v>10.42</v>
      </c>
      <c r="N17" s="136" t="s">
        <v>2598</v>
      </c>
      <c r="O17" s="155">
        <f>IFERROR(VLOOKUP(K17,【参考】数式用!$A$2:$M$57,MATCH(N17,【参考】数式用!$G$3:$M$3,0)+6,0),"")</f>
        <v>0.26700000000000002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21589400</v>
      </c>
      <c r="AC17" s="462">
        <f>IFERROR(ROUNDDOWN(ROUNDDOWN(ROUND(L17*VLOOKUP(K17,【参考】数式用!$A$2:$M$57,MATCH("処遇改善加算Ⅳ",【参考】数式用!$G$3:$M$3,0)+6,0),0)*M17,0)*Z17*0.5,0), "")</f>
        <v>6751740</v>
      </c>
      <c r="AD17" s="156" t="s">
        <v>2596</v>
      </c>
      <c r="AE17" s="157" t="s">
        <v>2596</v>
      </c>
      <c r="AF17" s="157" t="s">
        <v>421</v>
      </c>
      <c r="AG17" s="158">
        <v>0</v>
      </c>
      <c r="AH17" s="159" t="s">
        <v>421</v>
      </c>
      <c r="AI17" s="160" t="s">
        <v>403</v>
      </c>
      <c r="AJ17" s="161" t="s">
        <v>2597</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v>
      </c>
      <c r="AO17" s="548" t="str">
        <f t="shared" si="1"/>
        <v>N列に色付け</v>
      </c>
      <c r="AP17" s="549" t="str">
        <f t="shared" si="18"/>
        <v>入力済</v>
      </c>
      <c r="AQ17" s="549" t="str">
        <f t="shared" si="19"/>
        <v>キャリアパス要件Ⅰ・Ⅱ_加算対象</v>
      </c>
      <c r="AR17" s="550" t="str">
        <f>IF(AND(N17&lt;&gt;"", AE17=""), "未入力", "入力済")</f>
        <v>入力済</v>
      </c>
      <c r="AS17" s="548" t="str">
        <f t="shared" si="2"/>
        <v>AF列に色付け</v>
      </c>
      <c r="AT17" s="550" t="str">
        <f>IF(AND(N17&lt;&gt;"", N17&lt;&gt;"処遇改善加算Ⅳ",N17&lt;&gt;"処遇改善加算", AF17=""), "未入力", "入力済")</f>
        <v>入力済</v>
      </c>
      <c r="AU17" s="550" t="str">
        <f t="shared" si="4"/>
        <v>対象</v>
      </c>
      <c r="AV17" s="550">
        <f t="shared" si="5"/>
        <v>1</v>
      </c>
      <c r="AW17" s="548" t="str">
        <f t="shared" si="6"/>
        <v>AH列に色付け</v>
      </c>
      <c r="AX17" s="548" t="str">
        <f t="shared" si="7"/>
        <v>入力済</v>
      </c>
      <c r="AY17" s="550" t="str">
        <f>IFERROR(VLOOKUP(K17,【参考】数式用!$AR$3:$AS$49, 2, FALSE), "")</f>
        <v>定期巡回・随時対応型訪問介護看護Ⅴ</v>
      </c>
      <c r="AZ17" s="548" t="str">
        <f t="shared" si="8"/>
        <v>AI列に色付け</v>
      </c>
      <c r="BA17" s="551" t="str">
        <f t="shared" si="21"/>
        <v>入力済</v>
      </c>
      <c r="BB17" s="550" t="str">
        <f>IFERROR(VLOOKUP(K17,【参考】数式用!$AX$3:$AY$56, 2, FALSE), "")</f>
        <v>定期巡回・随時対応型訪問介護看護R8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土浦市</v>
      </c>
    </row>
    <row r="18" spans="1:61" s="553" customFormat="1" ht="109.95" customHeight="1" thickBot="1">
      <c r="A18" s="456">
        <v>7</v>
      </c>
      <c r="B18" s="724" t="str">
        <f>IF(基本情報入力シート!B46="","",基本情報入力シート!B46)</f>
        <v>0811111114</v>
      </c>
      <c r="C18" s="725"/>
      <c r="D18" s="725"/>
      <c r="E18" s="725"/>
      <c r="F18" s="726"/>
      <c r="G18" s="457" t="str">
        <f>IF(基本情報入力シート!L46="", "", 基本情報入力シート!L46)</f>
        <v>茨城県</v>
      </c>
      <c r="H18" s="457" t="str">
        <f>IF(基本情報入力シート!Q46="", "", 基本情報入力シート!Q46)</f>
        <v>茨城県</v>
      </c>
      <c r="I18" s="457" t="str">
        <f>IF(基本情報入力シート!V46="", "", 基本情報入力シート!V46)</f>
        <v>古河市</v>
      </c>
      <c r="J18" s="457" t="str">
        <f>IF(基本情報入力シート!W46="", "", 基本情報入力シート!W46)</f>
        <v>訪問入浴介護事業所　○○</v>
      </c>
      <c r="K18" s="457" t="str">
        <f>IF(基本情報入力シート!Z46="", "", 基本情報入力シート!Z46)</f>
        <v>訪問入浴介護</v>
      </c>
      <c r="L18" s="101">
        <f>IF(基本情報入力シート!AF46=0, "",基本情報入力シート!AF46)</f>
        <v>906000</v>
      </c>
      <c r="M18" s="142">
        <f>IF(AND(基本情報入力シート!AG46="",基本情報入力シート!AG46=""), "", 基本情報入力シート!AG46)</f>
        <v>10.42</v>
      </c>
      <c r="N18" s="136" t="s">
        <v>2598</v>
      </c>
      <c r="O18" s="155">
        <f>IFERROR(VLOOKUP(K18,【参考】数式用!$A$2:$M$57,MATCH(N18,【参考】数式用!$G$3:$M$3,0)+6,0),"")</f>
        <v>0.122</v>
      </c>
      <c r="P18" s="458" t="s">
        <v>180</v>
      </c>
      <c r="Q18" s="141">
        <v>8</v>
      </c>
      <c r="R18" s="459" t="s">
        <v>271</v>
      </c>
      <c r="S18" s="141">
        <v>6</v>
      </c>
      <c r="T18" s="459" t="s">
        <v>272</v>
      </c>
      <c r="U18" s="141">
        <v>9</v>
      </c>
      <c r="V18" s="459" t="s">
        <v>271</v>
      </c>
      <c r="W18" s="141">
        <v>3</v>
      </c>
      <c r="X18" s="459" t="s">
        <v>273</v>
      </c>
      <c r="Y18" s="459" t="s">
        <v>274</v>
      </c>
      <c r="Z18" s="459">
        <f t="shared" si="15"/>
        <v>10</v>
      </c>
      <c r="AA18" s="460" t="s">
        <v>275</v>
      </c>
      <c r="AB18" s="461">
        <f t="shared" si="16"/>
        <v>11517430</v>
      </c>
      <c r="AC18" s="462">
        <f>IFERROR(ROUNDDOWN(ROUNDDOWN(ROUND(L18*VLOOKUP(K18,【参考】数式用!$A$2:$M$57,MATCH("処遇改善加算Ⅳ",【参考】数式用!$G$3:$M$3,0)+6,0),0)*M18,0)*Z18*0.5,0), "")</f>
        <v>4012220</v>
      </c>
      <c r="AD18" s="156" t="s">
        <v>2596</v>
      </c>
      <c r="AE18" s="157" t="s">
        <v>2596</v>
      </c>
      <c r="AF18" s="157" t="s">
        <v>421</v>
      </c>
      <c r="AG18" s="158">
        <v>0</v>
      </c>
      <c r="AH18" s="159" t="s">
        <v>421</v>
      </c>
      <c r="AI18" s="160" t="s">
        <v>403</v>
      </c>
      <c r="AJ18" s="161" t="s">
        <v>2597</v>
      </c>
      <c r="AK18" s="545" t="str">
        <f t="shared" si="17"/>
        <v/>
      </c>
      <c r="AL18" s="546" t="str">
        <f t="shared" si="0"/>
        <v/>
      </c>
      <c r="AM18" s="547"/>
      <c r="AN18" s="548" t="str">
        <f>IFERROR(VLOOKUP(K18,【参考】数式用!$A$2:$N$57,14,FALSE),"")</f>
        <v>加算対象</v>
      </c>
      <c r="AO18" s="548" t="str">
        <f t="shared" si="1"/>
        <v>N列に色付け</v>
      </c>
      <c r="AP18" s="549" t="str">
        <f t="shared" si="18"/>
        <v>入力済</v>
      </c>
      <c r="AQ18" s="549" t="str">
        <f t="shared" si="19"/>
        <v>キャリアパス要件Ⅰ・Ⅱ_加算対象</v>
      </c>
      <c r="AR18" s="550" t="str">
        <f t="shared" si="20"/>
        <v>入力済</v>
      </c>
      <c r="AS18" s="548" t="str">
        <f t="shared" si="2"/>
        <v>AF列に色付け</v>
      </c>
      <c r="AT18" s="550" t="str">
        <f t="shared" si="3"/>
        <v>入力済</v>
      </c>
      <c r="AU18" s="550" t="str">
        <f t="shared" si="4"/>
        <v>対象</v>
      </c>
      <c r="AV18" s="550">
        <f t="shared" si="5"/>
        <v>1</v>
      </c>
      <c r="AW18" s="548" t="str">
        <f t="shared" si="6"/>
        <v>AH列に色付け</v>
      </c>
      <c r="AX18" s="548" t="str">
        <f t="shared" si="7"/>
        <v>入力済</v>
      </c>
      <c r="AY18" s="550" t="str">
        <f>IFERROR(VLOOKUP(K18,【参考】数式用!$AR$3:$AS$49, 2, FALSE), "")</f>
        <v>訪問入浴介護Ⅴ</v>
      </c>
      <c r="AZ18" s="548" t="str">
        <f t="shared" si="8"/>
        <v>AI列に色付け</v>
      </c>
      <c r="BA18" s="551" t="str">
        <f t="shared" si="21"/>
        <v>入力済</v>
      </c>
      <c r="BB18" s="550" t="str">
        <f>IFERROR(VLOOKUP(K18,【参考】数式用!$AX$3:$AY$56, 2, FALSE), "")</f>
        <v>訪問入浴介護R8</v>
      </c>
      <c r="BC18" s="548" t="str">
        <f t="shared" si="9"/>
        <v>AJ列に色付け</v>
      </c>
      <c r="BD18" s="551" t="str">
        <f t="shared" si="22"/>
        <v>入力済</v>
      </c>
      <c r="BE18" s="551" t="str">
        <f t="shared" si="10"/>
        <v/>
      </c>
      <c r="BF18" s="551" t="str">
        <f t="shared" si="11"/>
        <v/>
      </c>
      <c r="BG18" s="551" t="str">
        <f t="shared" si="12"/>
        <v>入力必要</v>
      </c>
      <c r="BH18" s="551" t="str">
        <f t="shared" si="13"/>
        <v>入力済</v>
      </c>
      <c r="BI18" s="551" t="str">
        <f t="shared" si="14"/>
        <v>茨城県</v>
      </c>
    </row>
    <row r="19" spans="1:61" s="553" customFormat="1" ht="109.95" customHeight="1" thickBot="1">
      <c r="A19" s="456">
        <v>8</v>
      </c>
      <c r="B19" s="727" t="str">
        <f>IF(基本情報入力シート!B47="","",基本情報入力シート!B47)</f>
        <v>0811111114</v>
      </c>
      <c r="C19" s="728"/>
      <c r="D19" s="728"/>
      <c r="E19" s="728"/>
      <c r="F19" s="729"/>
      <c r="G19" s="457" t="str">
        <f>IF(基本情報入力シート!L47="", "", 基本情報入力シート!L47)</f>
        <v>茨城県</v>
      </c>
      <c r="H19" s="457" t="str">
        <f>IF(基本情報入力シート!Q47="", "", 基本情報入力シート!Q47)</f>
        <v>茨城県</v>
      </c>
      <c r="I19" s="457" t="str">
        <f>IF(基本情報入力シート!V47="", "", 基本情報入力シート!V47)</f>
        <v>古河市</v>
      </c>
      <c r="J19" s="457" t="str">
        <f>IF(基本情報入力シート!W47="", "", 基本情報入力シート!W47)</f>
        <v>訪問入浴介護事業所　○○</v>
      </c>
      <c r="K19" s="457" t="str">
        <f>IF(基本情報入力シート!Z47="", "", 基本情報入力シート!Z47)</f>
        <v>介護予防訪問入浴介護</v>
      </c>
      <c r="L19" s="101">
        <f>IF(基本情報入力シート!AF47=0, "",基本情報入力シート!AF47)</f>
        <v>906000</v>
      </c>
      <c r="M19" s="142">
        <f>IF(AND(基本情報入力シート!AG47="",基本情報入力シート!AG47=""), "", 基本情報入力シート!AG47)</f>
        <v>10.42</v>
      </c>
      <c r="N19" s="136" t="s">
        <v>2598</v>
      </c>
      <c r="O19" s="155">
        <f>IFERROR(VLOOKUP(K19,【参考】数式用!$A$2:$M$57,MATCH(N19,【参考】数式用!$G$3:$M$3,0)+6,0),"")</f>
        <v>0.122</v>
      </c>
      <c r="P19" s="458" t="s">
        <v>180</v>
      </c>
      <c r="Q19" s="141">
        <v>8</v>
      </c>
      <c r="R19" s="459" t="s">
        <v>271</v>
      </c>
      <c r="S19" s="141">
        <v>6</v>
      </c>
      <c r="T19" s="459" t="s">
        <v>272</v>
      </c>
      <c r="U19" s="141">
        <v>9</v>
      </c>
      <c r="V19" s="459" t="s">
        <v>271</v>
      </c>
      <c r="W19" s="141">
        <v>3</v>
      </c>
      <c r="X19" s="459" t="s">
        <v>273</v>
      </c>
      <c r="Y19" s="459" t="s">
        <v>274</v>
      </c>
      <c r="Z19" s="459">
        <f t="shared" si="15"/>
        <v>10</v>
      </c>
      <c r="AA19" s="460" t="s">
        <v>275</v>
      </c>
      <c r="AB19" s="461">
        <f t="shared" si="16"/>
        <v>11517430</v>
      </c>
      <c r="AC19" s="462">
        <f>IFERROR(ROUNDDOWN(ROUNDDOWN(ROUND(L19*VLOOKUP(K19,【参考】数式用!$A$2:$M$57,MATCH("処遇改善加算Ⅳ",【参考】数式用!$G$3:$M$3,0)+6,0),0)*M19,0)*Z19*0.5,0), "")</f>
        <v>4012220</v>
      </c>
      <c r="AD19" s="156" t="s">
        <v>2596</v>
      </c>
      <c r="AE19" s="157" t="s">
        <v>2596</v>
      </c>
      <c r="AF19" s="157" t="s">
        <v>421</v>
      </c>
      <c r="AG19" s="158">
        <v>0</v>
      </c>
      <c r="AH19" s="159" t="s">
        <v>421</v>
      </c>
      <c r="AI19" s="160" t="s">
        <v>403</v>
      </c>
      <c r="AJ19" s="161" t="s">
        <v>2597</v>
      </c>
      <c r="AK19" s="545" t="str">
        <f t="shared" si="17"/>
        <v/>
      </c>
      <c r="AL19" s="546" t="str">
        <f t="shared" si="0"/>
        <v/>
      </c>
      <c r="AM19" s="547"/>
      <c r="AN19" s="548" t="str">
        <f>IFERROR(VLOOKUP(K19,【参考】数式用!$A$2:$N$57,14,FALSE),"")</f>
        <v>加算対象</v>
      </c>
      <c r="AO19" s="548" t="str">
        <f t="shared" si="1"/>
        <v>N列に色付け</v>
      </c>
      <c r="AP19" s="549" t="str">
        <f t="shared" si="18"/>
        <v>入力済</v>
      </c>
      <c r="AQ19" s="549" t="str">
        <f t="shared" si="19"/>
        <v>キャリアパス要件Ⅰ・Ⅱ_加算対象</v>
      </c>
      <c r="AR19" s="550" t="str">
        <f t="shared" si="20"/>
        <v>入力済</v>
      </c>
      <c r="AS19" s="548" t="str">
        <f t="shared" si="2"/>
        <v>AF列に色付け</v>
      </c>
      <c r="AT19" s="550" t="str">
        <f t="shared" si="3"/>
        <v>入力済</v>
      </c>
      <c r="AU19" s="550" t="str">
        <f t="shared" si="4"/>
        <v>対象</v>
      </c>
      <c r="AV19" s="550">
        <f t="shared" si="5"/>
        <v>1</v>
      </c>
      <c r="AW19" s="548" t="str">
        <f t="shared" si="6"/>
        <v>AH列に色付け</v>
      </c>
      <c r="AX19" s="548" t="str">
        <f t="shared" si="7"/>
        <v>入力済</v>
      </c>
      <c r="AY19" s="550" t="str">
        <f>IFERROR(VLOOKUP(K19,【参考】数式用!$AR$3:$AS$49, 2, FALSE), "")</f>
        <v>介護予防訪問入浴介護Ⅴ</v>
      </c>
      <c r="AZ19" s="548" t="str">
        <f t="shared" si="8"/>
        <v>AI列に色付け</v>
      </c>
      <c r="BA19" s="551" t="str">
        <f t="shared" si="21"/>
        <v>入力済</v>
      </c>
      <c r="BB19" s="550" t="str">
        <f>IFERROR(VLOOKUP(K19,【参考】数式用!$AX$3:$AY$56, 2, FALSE), "")</f>
        <v>介護予防訪問入浴介護R8</v>
      </c>
      <c r="BC19" s="548" t="str">
        <f t="shared" si="9"/>
        <v>AJ列に色付け</v>
      </c>
      <c r="BD19" s="551" t="str">
        <f t="shared" si="22"/>
        <v>入力済</v>
      </c>
      <c r="BE19" s="551" t="str">
        <f t="shared" si="10"/>
        <v/>
      </c>
      <c r="BF19" s="551" t="str">
        <f t="shared" si="11"/>
        <v/>
      </c>
      <c r="BG19" s="551" t="str">
        <f t="shared" si="12"/>
        <v>入力必要</v>
      </c>
      <c r="BH19" s="551" t="str">
        <f t="shared" si="13"/>
        <v>入力済</v>
      </c>
      <c r="BI19" s="551" t="str">
        <f t="shared" si="14"/>
        <v>茨城県</v>
      </c>
    </row>
    <row r="20" spans="1:61" s="553" customFormat="1" ht="109.95" customHeight="1" thickBot="1">
      <c r="A20" s="456">
        <v>9</v>
      </c>
      <c r="B20" s="724" t="str">
        <f>IF(基本情報入力シート!B48="","",基本情報入力シート!B48)</f>
        <v>0811111115</v>
      </c>
      <c r="C20" s="725"/>
      <c r="D20" s="725"/>
      <c r="E20" s="725"/>
      <c r="F20" s="726"/>
      <c r="G20" s="457" t="str">
        <f>IF(基本情報入力シート!L48="", "", 基本情報入力シート!L48)</f>
        <v>茨城県</v>
      </c>
      <c r="H20" s="457" t="str">
        <f>IF(基本情報入力シート!Q48="", "", 基本情報入力シート!Q48)</f>
        <v>茨城県</v>
      </c>
      <c r="I20" s="457" t="str">
        <f>IF(基本情報入力シート!V48="", "", 基本情報入力シート!V48)</f>
        <v>石岡市</v>
      </c>
      <c r="J20" s="457" t="str">
        <f>IF(基本情報入力シート!W48="", "", 基本情報入力シート!W48)</f>
        <v>通所介護事業所　○○</v>
      </c>
      <c r="K20" s="457" t="str">
        <f>IF(基本情報入力シート!Z48="", "", 基本情報入力シート!Z48)</f>
        <v>通所介護</v>
      </c>
      <c r="L20" s="101">
        <f>IF(基本情報入力シート!AF48=0, "",基本情報入力シート!AF48)</f>
        <v>910000</v>
      </c>
      <c r="M20" s="142">
        <f>IF(AND(基本情報入力シート!AG48="",基本情報入力シート!AG48=""), "", 基本情報入力シート!AG48)</f>
        <v>10</v>
      </c>
      <c r="N20" s="136" t="s">
        <v>2598</v>
      </c>
      <c r="O20" s="155">
        <f>IFERROR(VLOOKUP(K20,【参考】数式用!$A$2:$M$57,MATCH(N20,【参考】数式用!$G$3:$M$3,0)+6,0),"")</f>
        <v>0.111</v>
      </c>
      <c r="P20" s="458" t="s">
        <v>180</v>
      </c>
      <c r="Q20" s="141">
        <v>8</v>
      </c>
      <c r="R20" s="459" t="s">
        <v>271</v>
      </c>
      <c r="S20" s="141">
        <v>6</v>
      </c>
      <c r="T20" s="459" t="s">
        <v>272</v>
      </c>
      <c r="U20" s="141">
        <v>9</v>
      </c>
      <c r="V20" s="459" t="s">
        <v>271</v>
      </c>
      <c r="W20" s="141">
        <v>3</v>
      </c>
      <c r="X20" s="459" t="s">
        <v>273</v>
      </c>
      <c r="Y20" s="459" t="s">
        <v>274</v>
      </c>
      <c r="Z20" s="459">
        <f t="shared" si="15"/>
        <v>10</v>
      </c>
      <c r="AA20" s="460" t="s">
        <v>275</v>
      </c>
      <c r="AB20" s="461">
        <f t="shared" si="16"/>
        <v>10101000</v>
      </c>
      <c r="AC20" s="462">
        <f>IFERROR(ROUNDDOWN(ROUNDDOWN(ROUND(L20*VLOOKUP(K20,【参考】数式用!$A$2:$M$57,MATCH("処遇改善加算Ⅳ",【参考】数式用!$G$3:$M$3,0)+6,0),0)*M20,0)*Z20*0.5,0), "")</f>
        <v>3776500</v>
      </c>
      <c r="AD20" s="156" t="s">
        <v>2596</v>
      </c>
      <c r="AE20" s="157" t="s">
        <v>421</v>
      </c>
      <c r="AF20" s="157" t="s">
        <v>421</v>
      </c>
      <c r="AG20" s="158">
        <v>1</v>
      </c>
      <c r="AH20" s="159"/>
      <c r="AI20" s="160" t="s">
        <v>402</v>
      </c>
      <c r="AJ20" s="161" t="s">
        <v>2597</v>
      </c>
      <c r="AK20" s="545" t="str">
        <f t="shared" si="17"/>
        <v/>
      </c>
      <c r="AL20" s="546" t="str">
        <f t="shared" si="0"/>
        <v/>
      </c>
      <c r="AM20" s="547"/>
      <c r="AN20" s="548" t="str">
        <f>IFERROR(VLOOKUP(K20,【参考】数式用!$A$2:$N$57,14,FALSE),"")</f>
        <v>加算対象</v>
      </c>
      <c r="AO20" s="548" t="str">
        <f t="shared" si="1"/>
        <v>N列に色付け</v>
      </c>
      <c r="AP20" s="549" t="str">
        <f t="shared" si="18"/>
        <v>入力済</v>
      </c>
      <c r="AQ20" s="549" t="str">
        <f t="shared" si="19"/>
        <v>キャリアパス要件Ⅰ・Ⅱ_加算対象</v>
      </c>
      <c r="AR20" s="550" t="str">
        <f t="shared" si="20"/>
        <v>入力済</v>
      </c>
      <c r="AS20" s="548" t="str">
        <f t="shared" si="2"/>
        <v>AF列に色付け</v>
      </c>
      <c r="AT20" s="550" t="str">
        <f t="shared" si="3"/>
        <v>入力済</v>
      </c>
      <c r="AU20" s="550" t="str">
        <f t="shared" si="4"/>
        <v>対象</v>
      </c>
      <c r="AV20" s="550">
        <f t="shared" si="5"/>
        <v>1</v>
      </c>
      <c r="AW20" s="548" t="str">
        <f t="shared" si="6"/>
        <v/>
      </c>
      <c r="AX20" s="548" t="str">
        <f t="shared" si="7"/>
        <v>入力済</v>
      </c>
      <c r="AY20" s="550" t="str">
        <f>IFERROR(VLOOKUP(K20,【参考】数式用!$AR$3:$AS$49, 2, FALSE), "")</f>
        <v>通所介護Ⅴ</v>
      </c>
      <c r="AZ20" s="548" t="str">
        <f t="shared" si="8"/>
        <v>AI列に色付け</v>
      </c>
      <c r="BA20" s="551" t="str">
        <f t="shared" si="21"/>
        <v>入力済</v>
      </c>
      <c r="BB20" s="550" t="str">
        <f>IFERROR(VLOOKUP(K20,【参考】数式用!$AX$3:$AY$56, 2, FALSE), "")</f>
        <v>通所介護R8</v>
      </c>
      <c r="BC20" s="548" t="str">
        <f t="shared" si="9"/>
        <v>AJ列に色付け</v>
      </c>
      <c r="BD20" s="551" t="str">
        <f t="shared" si="22"/>
        <v>入力済</v>
      </c>
      <c r="BE20" s="551" t="str">
        <f t="shared" si="10"/>
        <v/>
      </c>
      <c r="BF20" s="551" t="str">
        <f t="shared" si="11"/>
        <v/>
      </c>
      <c r="BG20" s="551" t="str">
        <f t="shared" si="12"/>
        <v>入力必要</v>
      </c>
      <c r="BH20" s="551" t="str">
        <f t="shared" si="13"/>
        <v>入力済</v>
      </c>
      <c r="BI20" s="551" t="str">
        <f t="shared" si="14"/>
        <v>茨城県</v>
      </c>
    </row>
    <row r="21" spans="1:61" s="553" customFormat="1" ht="109.95" customHeight="1" thickBot="1">
      <c r="A21" s="456">
        <v>10</v>
      </c>
      <c r="B21" s="724" t="str">
        <f>IF(基本情報入力シート!B49="","",基本情報入力シート!B49)</f>
        <v>0811111115</v>
      </c>
      <c r="C21" s="725"/>
      <c r="D21" s="725"/>
      <c r="E21" s="725"/>
      <c r="F21" s="726"/>
      <c r="G21" s="457" t="str">
        <f>IF(基本情報入力シート!L49="", "", 基本情報入力シート!L49)</f>
        <v>石岡市</v>
      </c>
      <c r="H21" s="457" t="str">
        <f>IF(基本情報入力シート!Q49="", "", 基本情報入力シート!Q49)</f>
        <v>茨城県</v>
      </c>
      <c r="I21" s="457" t="str">
        <f>IF(基本情報入力シート!V49="", "", 基本情報入力シート!V49)</f>
        <v>石岡市</v>
      </c>
      <c r="J21" s="457" t="str">
        <f>IF(基本情報入力シート!W49="", "", 基本情報入力シート!W49)</f>
        <v>通所介護事業所　○○</v>
      </c>
      <c r="K21" s="457" t="str">
        <f>IF(基本情報入力シート!Z49="", "", 基本情報入力シート!Z49)</f>
        <v>通所型サービス（独自）（19人以上）</v>
      </c>
      <c r="L21" s="101">
        <f>IF(基本情報入力シート!AF49=0, "",基本情報入力シート!AF49)</f>
        <v>910000</v>
      </c>
      <c r="M21" s="142">
        <f>IF(AND(基本情報入力シート!AG49="",基本情報入力シート!AG49=""), "", 基本情報入力シート!AG49)</f>
        <v>10</v>
      </c>
      <c r="N21" s="136" t="s">
        <v>2598</v>
      </c>
      <c r="O21" s="155">
        <f>IFERROR(VLOOKUP(K21,【参考】数式用!$A$2:$M$57,MATCH(N21,【参考】数式用!$G$3:$M$3,0)+6,0),"")</f>
        <v>0.111</v>
      </c>
      <c r="P21" s="458" t="s">
        <v>180</v>
      </c>
      <c r="Q21" s="141">
        <v>8</v>
      </c>
      <c r="R21" s="459" t="s">
        <v>271</v>
      </c>
      <c r="S21" s="141">
        <v>6</v>
      </c>
      <c r="T21" s="459" t="s">
        <v>272</v>
      </c>
      <c r="U21" s="141">
        <v>9</v>
      </c>
      <c r="V21" s="459" t="s">
        <v>271</v>
      </c>
      <c r="W21" s="141">
        <v>3</v>
      </c>
      <c r="X21" s="459" t="s">
        <v>182</v>
      </c>
      <c r="Y21" s="459" t="s">
        <v>274</v>
      </c>
      <c r="Z21" s="459">
        <f t="shared" si="15"/>
        <v>10</v>
      </c>
      <c r="AA21" s="460" t="s">
        <v>275</v>
      </c>
      <c r="AB21" s="461">
        <f t="shared" si="16"/>
        <v>10101000</v>
      </c>
      <c r="AC21" s="462">
        <f>IFERROR(ROUNDDOWN(ROUNDDOWN(ROUND(L21*VLOOKUP(K21,【参考】数式用!$A$2:$M$57,MATCH("処遇改善加算Ⅳ",【参考】数式用!$G$3:$M$3,0)+6,0),0)*M21,0)*Z21*0.5,0), "")</f>
        <v>3776500</v>
      </c>
      <c r="AD21" s="156" t="s">
        <v>2596</v>
      </c>
      <c r="AE21" s="157" t="s">
        <v>421</v>
      </c>
      <c r="AF21" s="157" t="s">
        <v>421</v>
      </c>
      <c r="AG21" s="158">
        <v>1</v>
      </c>
      <c r="AH21" s="159"/>
      <c r="AI21" s="160" t="s">
        <v>402</v>
      </c>
      <c r="AJ21" s="161" t="s">
        <v>2597</v>
      </c>
      <c r="AK21" s="545" t="str">
        <f t="shared" si="17"/>
        <v/>
      </c>
      <c r="AL21" s="546" t="str">
        <f t="shared" si="0"/>
        <v/>
      </c>
      <c r="AM21" s="547"/>
      <c r="AN21" s="548" t="str">
        <f>IFERROR(VLOOKUP(K21,【参考】数式用!$A$2:$N$57,14,FALSE),"")</f>
        <v>加算対象</v>
      </c>
      <c r="AO21" s="548" t="str">
        <f t="shared" si="1"/>
        <v>N列に色付け</v>
      </c>
      <c r="AP21" s="549" t="str">
        <f t="shared" si="18"/>
        <v>入力済</v>
      </c>
      <c r="AQ21" s="549" t="str">
        <f t="shared" si="19"/>
        <v>キャリアパス要件Ⅰ・Ⅱ_加算対象</v>
      </c>
      <c r="AR21" s="550" t="str">
        <f t="shared" si="20"/>
        <v>入力済</v>
      </c>
      <c r="AS21" s="548" t="str">
        <f t="shared" si="2"/>
        <v>AF列に色付け</v>
      </c>
      <c r="AT21" s="550" t="str">
        <f t="shared" si="3"/>
        <v>入力済</v>
      </c>
      <c r="AU21" s="550" t="str">
        <f t="shared" si="4"/>
        <v>対象</v>
      </c>
      <c r="AV21" s="550">
        <f t="shared" si="5"/>
        <v>1</v>
      </c>
      <c r="AW21" s="548" t="str">
        <f t="shared" si="6"/>
        <v/>
      </c>
      <c r="AX21" s="548" t="str">
        <f t="shared" si="7"/>
        <v>入力済</v>
      </c>
      <c r="AY21" s="550" t="str">
        <f>IFERROR(VLOOKUP(K21,【参考】数式用!$AR$3:$AS$49, 2, FALSE), "")</f>
        <v>通所型サービス_独自_19人以上_Ⅴ</v>
      </c>
      <c r="AZ21" s="548" t="str">
        <f t="shared" si="8"/>
        <v>AI列に色付け</v>
      </c>
      <c r="BA21" s="551" t="str">
        <f t="shared" si="21"/>
        <v>入力済</v>
      </c>
      <c r="BB21" s="550" t="str">
        <f>IFERROR(VLOOKUP(K21,【参考】数式用!$AX$3:$AY$56, 2, FALSE), "")</f>
        <v>通所型サービス_独自__19人以上_R8</v>
      </c>
      <c r="BC21" s="548" t="str">
        <f t="shared" si="9"/>
        <v>AJ列に色付け</v>
      </c>
      <c r="BD21" s="551" t="str">
        <f t="shared" si="22"/>
        <v>入力済</v>
      </c>
      <c r="BE21" s="551" t="str">
        <f t="shared" si="10"/>
        <v/>
      </c>
      <c r="BF21" s="551" t="str">
        <f t="shared" si="11"/>
        <v/>
      </c>
      <c r="BG21" s="551" t="str">
        <f t="shared" si="12"/>
        <v>入力必要</v>
      </c>
      <c r="BH21" s="551" t="str">
        <f t="shared" si="13"/>
        <v>入力済</v>
      </c>
      <c r="BI21" s="551" t="str">
        <f t="shared" si="14"/>
        <v>石岡市</v>
      </c>
    </row>
    <row r="22" spans="1:61" s="553" customFormat="1" ht="109.95" customHeight="1" thickBot="1">
      <c r="A22" s="456">
        <v>11</v>
      </c>
      <c r="B22" s="724" t="str">
        <f>IF(基本情報入力シート!B50="","",基本情報入力シート!B50)</f>
        <v>0811111115</v>
      </c>
      <c r="C22" s="725"/>
      <c r="D22" s="725"/>
      <c r="E22" s="725"/>
      <c r="F22" s="726"/>
      <c r="G22" s="457" t="str">
        <f>IF(基本情報入力シート!L50="", "", 基本情報入力シート!L50)</f>
        <v>石岡市</v>
      </c>
      <c r="H22" s="457" t="str">
        <f>IF(基本情報入力シート!Q50="", "", 基本情報入力シート!Q50)</f>
        <v>茨城県</v>
      </c>
      <c r="I22" s="457" t="str">
        <f>IF(基本情報入力シート!V50="", "", 基本情報入力シート!V50)</f>
        <v>石岡市</v>
      </c>
      <c r="J22" s="457" t="str">
        <f>IF(基本情報入力シート!W50="", "", 基本情報入力シート!W50)</f>
        <v>通所介護事業所　○○</v>
      </c>
      <c r="K22" s="457" t="str">
        <f>IF(基本情報入力シート!Z50="", "", 基本情報入力シート!Z50)</f>
        <v>通所型サービス（独自／定率）（19人以上）</v>
      </c>
      <c r="L22" s="101">
        <f>IF(基本情報入力シート!AF50=0, "",基本情報入力シート!AF50)</f>
        <v>910000</v>
      </c>
      <c r="M22" s="142">
        <f>IF(AND(基本情報入力シート!AG50="",基本情報入力シート!AG50=""), "", 基本情報入力シート!AG50)</f>
        <v>10</v>
      </c>
      <c r="N22" s="136" t="s">
        <v>2598</v>
      </c>
      <c r="O22" s="155">
        <f>IFERROR(VLOOKUP(K22,【参考】数式用!$A$2:$M$57,MATCH(N22,【参考】数式用!$G$3:$M$3,0)+6,0),"")</f>
        <v>0.111</v>
      </c>
      <c r="P22" s="458" t="s">
        <v>180</v>
      </c>
      <c r="Q22" s="141">
        <v>8</v>
      </c>
      <c r="R22" s="459" t="s">
        <v>271</v>
      </c>
      <c r="S22" s="141">
        <v>6</v>
      </c>
      <c r="T22" s="459" t="s">
        <v>272</v>
      </c>
      <c r="U22" s="141">
        <v>9</v>
      </c>
      <c r="V22" s="459" t="s">
        <v>271</v>
      </c>
      <c r="W22" s="141">
        <v>3</v>
      </c>
      <c r="X22" s="459" t="s">
        <v>273</v>
      </c>
      <c r="Y22" s="459" t="s">
        <v>274</v>
      </c>
      <c r="Z22" s="459">
        <f t="shared" si="15"/>
        <v>10</v>
      </c>
      <c r="AA22" s="460" t="s">
        <v>275</v>
      </c>
      <c r="AB22" s="461">
        <f t="shared" si="16"/>
        <v>10101000</v>
      </c>
      <c r="AC22" s="462">
        <f>IFERROR(ROUNDDOWN(ROUNDDOWN(ROUND(L22*VLOOKUP(K22,【参考】数式用!$A$2:$M$57,MATCH("処遇改善加算Ⅳ",【参考】数式用!$G$3:$M$3,0)+6,0),0)*M22,0)*Z22*0.5,0), "")</f>
        <v>3776500</v>
      </c>
      <c r="AD22" s="156" t="s">
        <v>2596</v>
      </c>
      <c r="AE22" s="157" t="s">
        <v>421</v>
      </c>
      <c r="AF22" s="157" t="s">
        <v>421</v>
      </c>
      <c r="AG22" s="158">
        <v>1</v>
      </c>
      <c r="AH22" s="159"/>
      <c r="AI22" s="160" t="s">
        <v>402</v>
      </c>
      <c r="AJ22" s="161" t="s">
        <v>2597</v>
      </c>
      <c r="AK22" s="545" t="str">
        <f t="shared" si="17"/>
        <v/>
      </c>
      <c r="AL22" s="546" t="str">
        <f t="shared" si="0"/>
        <v/>
      </c>
      <c r="AM22" s="547"/>
      <c r="AN22" s="548" t="str">
        <f>IFERROR(VLOOKUP(K22,【参考】数式用!$A$2:$N$57,14,FALSE),"")</f>
        <v>加算対象</v>
      </c>
      <c r="AO22" s="548" t="str">
        <f t="shared" si="1"/>
        <v>N列に色付け</v>
      </c>
      <c r="AP22" s="549" t="str">
        <f t="shared" si="18"/>
        <v>入力済</v>
      </c>
      <c r="AQ22" s="549" t="str">
        <f t="shared" si="19"/>
        <v>キャリアパス要件Ⅰ・Ⅱ_加算対象</v>
      </c>
      <c r="AR22" s="550" t="str">
        <f t="shared" si="20"/>
        <v>入力済</v>
      </c>
      <c r="AS22" s="548" t="str">
        <f t="shared" si="2"/>
        <v>AF列に色付け</v>
      </c>
      <c r="AT22" s="550" t="str">
        <f t="shared" si="3"/>
        <v>入力済</v>
      </c>
      <c r="AU22" s="550" t="str">
        <f t="shared" si="4"/>
        <v>対象</v>
      </c>
      <c r="AV22" s="550">
        <f t="shared" si="5"/>
        <v>1</v>
      </c>
      <c r="AW22" s="548" t="str">
        <f t="shared" si="6"/>
        <v/>
      </c>
      <c r="AX22" s="548" t="str">
        <f t="shared" si="7"/>
        <v>入力済</v>
      </c>
      <c r="AY22" s="550" t="str">
        <f>IFERROR(VLOOKUP(K22,【参考】数式用!$AR$3:$AS$49, 2, FALSE), "")</f>
        <v>通所型サービス_独自_定率_19人以上_Ⅴ</v>
      </c>
      <c r="AZ22" s="548" t="str">
        <f t="shared" si="8"/>
        <v>AI列に色付け</v>
      </c>
      <c r="BA22" s="551" t="str">
        <f t="shared" si="21"/>
        <v>入力済</v>
      </c>
      <c r="BB22" s="550" t="str">
        <f>IFERROR(VLOOKUP(K22,【参考】数式用!$AX$3:$AY$56, 2, FALSE), "")</f>
        <v>通所型サービス_独自_定率__19人以上_R8</v>
      </c>
      <c r="BC22" s="548" t="str">
        <f t="shared" si="9"/>
        <v>AJ列に色付け</v>
      </c>
      <c r="BD22" s="551" t="str">
        <f t="shared" si="22"/>
        <v>入力済</v>
      </c>
      <c r="BE22" s="551" t="str">
        <f t="shared" si="10"/>
        <v/>
      </c>
      <c r="BF22" s="551" t="str">
        <f t="shared" si="11"/>
        <v/>
      </c>
      <c r="BG22" s="551" t="str">
        <f t="shared" si="12"/>
        <v>入力必要</v>
      </c>
      <c r="BH22" s="551" t="str">
        <f t="shared" si="13"/>
        <v>入力済</v>
      </c>
      <c r="BI22" s="551" t="str">
        <f t="shared" si="14"/>
        <v>石岡市</v>
      </c>
    </row>
    <row r="23" spans="1:61" s="553" customFormat="1" ht="109.95" customHeight="1" thickBot="1">
      <c r="A23" s="456">
        <v>12</v>
      </c>
      <c r="B23" s="724" t="str">
        <f>IF(基本情報入力シート!B51="","",基本情報入力シート!B51)</f>
        <v>0811111115</v>
      </c>
      <c r="C23" s="725"/>
      <c r="D23" s="725"/>
      <c r="E23" s="725"/>
      <c r="F23" s="726"/>
      <c r="G23" s="457" t="str">
        <f>IF(基本情報入力シート!L51="", "", 基本情報入力シート!L51)</f>
        <v>石岡市</v>
      </c>
      <c r="H23" s="457" t="str">
        <f>IF(基本情報入力シート!Q51="", "", 基本情報入力シート!Q51)</f>
        <v>茨城県</v>
      </c>
      <c r="I23" s="457" t="str">
        <f>IF(基本情報入力シート!V51="", "", 基本情報入力シート!V51)</f>
        <v>石岡市</v>
      </c>
      <c r="J23" s="457" t="str">
        <f>IF(基本情報入力シート!W51="", "", 基本情報入力シート!W51)</f>
        <v>通所介護事業所　○○</v>
      </c>
      <c r="K23" s="457" t="str">
        <f>IF(基本情報入力シート!Z51="", "", 基本情報入力シート!Z51)</f>
        <v>通所型サービス（独自／定額）（19人以上）</v>
      </c>
      <c r="L23" s="101">
        <f>IF(基本情報入力シート!AF51=0, "",基本情報入力シート!AF51)</f>
        <v>910000</v>
      </c>
      <c r="M23" s="142">
        <f>IF(AND(基本情報入力シート!AG51="",基本情報入力シート!AG51=""), "", 基本情報入力シート!AG51)</f>
        <v>10</v>
      </c>
      <c r="N23" s="136" t="s">
        <v>2598</v>
      </c>
      <c r="O23" s="155">
        <f>IFERROR(VLOOKUP(K23,【参考】数式用!$A$2:$M$57,MATCH(N23,【参考】数式用!$G$3:$M$3,0)+6,0),"")</f>
        <v>0.111</v>
      </c>
      <c r="P23" s="458" t="s">
        <v>180</v>
      </c>
      <c r="Q23" s="141">
        <v>8</v>
      </c>
      <c r="R23" s="459" t="s">
        <v>271</v>
      </c>
      <c r="S23" s="141">
        <v>6</v>
      </c>
      <c r="T23" s="459" t="s">
        <v>272</v>
      </c>
      <c r="U23" s="141">
        <v>9</v>
      </c>
      <c r="V23" s="459" t="s">
        <v>271</v>
      </c>
      <c r="W23" s="141">
        <v>3</v>
      </c>
      <c r="X23" s="459" t="s">
        <v>273</v>
      </c>
      <c r="Y23" s="459" t="s">
        <v>274</v>
      </c>
      <c r="Z23" s="459">
        <f t="shared" si="15"/>
        <v>10</v>
      </c>
      <c r="AA23" s="460" t="s">
        <v>275</v>
      </c>
      <c r="AB23" s="461">
        <f t="shared" si="16"/>
        <v>10101000</v>
      </c>
      <c r="AC23" s="462">
        <f>IFERROR(ROUNDDOWN(ROUNDDOWN(ROUND(L23*VLOOKUP(K23,【参考】数式用!$A$2:$M$57,MATCH("処遇改善加算Ⅳ",【参考】数式用!$G$3:$M$3,0)+6,0),0)*M23,0)*Z23*0.5,0), "")</f>
        <v>3776500</v>
      </c>
      <c r="AD23" s="156" t="s">
        <v>2596</v>
      </c>
      <c r="AE23" s="157" t="s">
        <v>421</v>
      </c>
      <c r="AF23" s="157" t="s">
        <v>421</v>
      </c>
      <c r="AG23" s="158">
        <v>1</v>
      </c>
      <c r="AH23" s="159"/>
      <c r="AI23" s="160" t="s">
        <v>402</v>
      </c>
      <c r="AJ23" s="161" t="s">
        <v>2597</v>
      </c>
      <c r="AK23" s="545" t="str">
        <f t="shared" si="17"/>
        <v/>
      </c>
      <c r="AL23" s="546" t="str">
        <f t="shared" si="0"/>
        <v/>
      </c>
      <c r="AM23" s="547"/>
      <c r="AN23" s="548" t="str">
        <f>IFERROR(VLOOKUP(K23,【参考】数式用!$A$2:$N$57,14,FALSE),"")</f>
        <v>加算対象</v>
      </c>
      <c r="AO23" s="548" t="str">
        <f t="shared" si="1"/>
        <v>N列に色付け</v>
      </c>
      <c r="AP23" s="549" t="str">
        <f t="shared" si="18"/>
        <v>入力済</v>
      </c>
      <c r="AQ23" s="549" t="str">
        <f t="shared" si="19"/>
        <v>キャリアパス要件Ⅰ・Ⅱ_加算対象</v>
      </c>
      <c r="AR23" s="550" t="str">
        <f t="shared" si="20"/>
        <v>入力済</v>
      </c>
      <c r="AS23" s="548" t="str">
        <f t="shared" si="2"/>
        <v>AF列に色付け</v>
      </c>
      <c r="AT23" s="550" t="str">
        <f t="shared" si="3"/>
        <v>入力済</v>
      </c>
      <c r="AU23" s="550" t="str">
        <f t="shared" si="4"/>
        <v>対象</v>
      </c>
      <c r="AV23" s="550">
        <f t="shared" si="5"/>
        <v>1</v>
      </c>
      <c r="AW23" s="548" t="str">
        <f t="shared" si="6"/>
        <v/>
      </c>
      <c r="AX23" s="548" t="str">
        <f t="shared" si="7"/>
        <v>入力済</v>
      </c>
      <c r="AY23" s="550" t="str">
        <f>IFERROR(VLOOKUP(K23,【参考】数式用!$AR$3:$AS$49, 2, FALSE), "")</f>
        <v>通所型サービス_独自_定額_19人以上_Ⅴ</v>
      </c>
      <c r="AZ23" s="548" t="str">
        <f t="shared" si="8"/>
        <v>AI列に色付け</v>
      </c>
      <c r="BA23" s="551" t="str">
        <f t="shared" si="21"/>
        <v>入力済</v>
      </c>
      <c r="BB23" s="550" t="str">
        <f>IFERROR(VLOOKUP(K23,【参考】数式用!$AX$3:$AY$56, 2, FALSE), "")</f>
        <v>通所型サービス_独自_定額__19人以上_R8</v>
      </c>
      <c r="BC23" s="548" t="str">
        <f t="shared" si="9"/>
        <v>AJ列に色付け</v>
      </c>
      <c r="BD23" s="551" t="str">
        <f t="shared" si="22"/>
        <v>入力済</v>
      </c>
      <c r="BE23" s="551" t="str">
        <f t="shared" si="10"/>
        <v/>
      </c>
      <c r="BF23" s="551" t="str">
        <f t="shared" si="11"/>
        <v/>
      </c>
      <c r="BG23" s="551" t="str">
        <f t="shared" si="12"/>
        <v>入力必要</v>
      </c>
      <c r="BH23" s="551" t="str">
        <f t="shared" si="13"/>
        <v>入力済</v>
      </c>
      <c r="BI23" s="551" t="str">
        <f t="shared" si="14"/>
        <v>石岡市</v>
      </c>
    </row>
    <row r="24" spans="1:61" s="553" customFormat="1" ht="109.95" customHeight="1" thickBot="1">
      <c r="A24" s="456">
        <v>13</v>
      </c>
      <c r="B24" s="724" t="str">
        <f>IF(基本情報入力シート!B52="","",基本情報入力シート!B52)</f>
        <v>0811111116</v>
      </c>
      <c r="C24" s="725"/>
      <c r="D24" s="725"/>
      <c r="E24" s="725"/>
      <c r="F24" s="726"/>
      <c r="G24" s="457" t="str">
        <f>IF(基本情報入力シート!L52="", "", 基本情報入力シート!L52)</f>
        <v>結城市</v>
      </c>
      <c r="H24" s="457" t="str">
        <f>IF(基本情報入力シート!Q52="", "", 基本情報入力シート!Q52)</f>
        <v>茨城県</v>
      </c>
      <c r="I24" s="457" t="str">
        <f>IF(基本情報入力シート!V52="", "", 基本情報入力シート!V52)</f>
        <v>結城市</v>
      </c>
      <c r="J24" s="457" t="str">
        <f>IF(基本情報入力シート!W52="", "", 基本情報入力シート!W52)</f>
        <v>○○デイサービス</v>
      </c>
      <c r="K24" s="457" t="str">
        <f>IF(基本情報入力シート!Z52="", "", 基本情報入力シート!Z52)</f>
        <v>地域密着型通所介護</v>
      </c>
      <c r="L24" s="101">
        <f>IF(基本情報入力シート!AF52=0, "",基本情報入力シート!AF52)</f>
        <v>910000</v>
      </c>
      <c r="M24" s="142">
        <f>IF(AND(基本情報入力シート!AG52="",基本情報入力シート!AG52=""), "", 基本情報入力シート!AG52)</f>
        <v>10.14</v>
      </c>
      <c r="N24" s="136" t="s">
        <v>2598</v>
      </c>
      <c r="O24" s="155">
        <f>IFERROR(VLOOKUP(K24,【参考】数式用!$A$2:$M$57,MATCH(N24,【参考】数式用!$G$3:$M$3,0)+6,0),"")</f>
        <v>0.11700000000000001</v>
      </c>
      <c r="P24" s="458" t="s">
        <v>180</v>
      </c>
      <c r="Q24" s="141">
        <v>8</v>
      </c>
      <c r="R24" s="459" t="s">
        <v>271</v>
      </c>
      <c r="S24" s="141">
        <v>6</v>
      </c>
      <c r="T24" s="459" t="s">
        <v>272</v>
      </c>
      <c r="U24" s="141">
        <v>9</v>
      </c>
      <c r="V24" s="459" t="s">
        <v>271</v>
      </c>
      <c r="W24" s="141">
        <v>3</v>
      </c>
      <c r="X24" s="459" t="s">
        <v>273</v>
      </c>
      <c r="Y24" s="459" t="s">
        <v>274</v>
      </c>
      <c r="Z24" s="459">
        <f t="shared" si="15"/>
        <v>10</v>
      </c>
      <c r="AA24" s="460" t="s">
        <v>275</v>
      </c>
      <c r="AB24" s="461">
        <f t="shared" si="16"/>
        <v>10796050</v>
      </c>
      <c r="AC24" s="462">
        <f>IFERROR(ROUNDDOWN(ROUNDDOWN(ROUND(L24*VLOOKUP(K24,【参考】数式用!$A$2:$M$57,MATCH("処遇改善加算Ⅳ",【参考】数式用!$G$3:$M$3,0)+6,0),0)*M24,0)*Z24*0.5,0), "")</f>
        <v>4106190</v>
      </c>
      <c r="AD24" s="156" t="s">
        <v>2596</v>
      </c>
      <c r="AE24" s="157" t="s">
        <v>421</v>
      </c>
      <c r="AF24" s="157" t="s">
        <v>421</v>
      </c>
      <c r="AG24" s="158">
        <v>1</v>
      </c>
      <c r="AH24" s="159"/>
      <c r="AI24" s="160" t="s">
        <v>402</v>
      </c>
      <c r="AJ24" s="161" t="s">
        <v>2597</v>
      </c>
      <c r="AK24" s="545" t="str">
        <f t="shared" si="17"/>
        <v/>
      </c>
      <c r="AL24" s="546" t="str">
        <f t="shared" si="0"/>
        <v/>
      </c>
      <c r="AM24" s="547"/>
      <c r="AN24" s="548" t="str">
        <f>IFERROR(VLOOKUP(K24,【参考】数式用!$A$2:$N$57,14,FALSE),"")</f>
        <v>加算対象</v>
      </c>
      <c r="AO24" s="548" t="str">
        <f t="shared" si="1"/>
        <v>N列に色付け</v>
      </c>
      <c r="AP24" s="549" t="str">
        <f t="shared" si="18"/>
        <v>入力済</v>
      </c>
      <c r="AQ24" s="549" t="str">
        <f t="shared" si="19"/>
        <v>キャリアパス要件Ⅰ・Ⅱ_加算対象</v>
      </c>
      <c r="AR24" s="550" t="str">
        <f t="shared" si="20"/>
        <v>入力済</v>
      </c>
      <c r="AS24" s="548" t="str">
        <f t="shared" si="2"/>
        <v>AF列に色付け</v>
      </c>
      <c r="AT24" s="550" t="str">
        <f t="shared" si="3"/>
        <v>入力済</v>
      </c>
      <c r="AU24" s="550" t="str">
        <f t="shared" si="4"/>
        <v>対象</v>
      </c>
      <c r="AV24" s="550">
        <f t="shared" si="5"/>
        <v>1</v>
      </c>
      <c r="AW24" s="548" t="str">
        <f t="shared" si="6"/>
        <v/>
      </c>
      <c r="AX24" s="548" t="str">
        <f t="shared" si="7"/>
        <v>入力済</v>
      </c>
      <c r="AY24" s="550" t="str">
        <f>IFERROR(VLOOKUP(K24,【参考】数式用!$AR$3:$AS$49, 2, FALSE), "")</f>
        <v>地域密着型通所介護Ⅴ</v>
      </c>
      <c r="AZ24" s="548" t="str">
        <f t="shared" si="8"/>
        <v>AI列に色付け</v>
      </c>
      <c r="BA24" s="551" t="str">
        <f t="shared" si="21"/>
        <v>入力済</v>
      </c>
      <c r="BB24" s="550" t="str">
        <f>IFERROR(VLOOKUP(K24,【参考】数式用!$AX$3:$AY$56, 2, FALSE), "")</f>
        <v>地域密着型通所介護R8</v>
      </c>
      <c r="BC24" s="548" t="str">
        <f t="shared" si="9"/>
        <v>AJ列に色付け</v>
      </c>
      <c r="BD24" s="551" t="str">
        <f t="shared" si="22"/>
        <v>入力済</v>
      </c>
      <c r="BE24" s="551" t="str">
        <f t="shared" si="10"/>
        <v/>
      </c>
      <c r="BF24" s="551" t="str">
        <f t="shared" si="11"/>
        <v/>
      </c>
      <c r="BG24" s="551" t="str">
        <f t="shared" si="12"/>
        <v>入力必要</v>
      </c>
      <c r="BH24" s="551" t="str">
        <f t="shared" si="13"/>
        <v>入力済</v>
      </c>
      <c r="BI24" s="551" t="str">
        <f t="shared" si="14"/>
        <v>結城市</v>
      </c>
    </row>
    <row r="25" spans="1:61" s="553" customFormat="1" ht="109.95" customHeight="1" thickBot="1">
      <c r="A25" s="456">
        <v>14</v>
      </c>
      <c r="B25" s="724" t="str">
        <f>IF(基本情報入力シート!B53="","",基本情報入力シート!B53)</f>
        <v>0811111117</v>
      </c>
      <c r="C25" s="725"/>
      <c r="D25" s="725"/>
      <c r="E25" s="725"/>
      <c r="F25" s="726"/>
      <c r="G25" s="457" t="str">
        <f>IF(基本情報入力シート!L53="", "", 基本情報入力シート!L53)</f>
        <v>茨城県</v>
      </c>
      <c r="H25" s="457" t="str">
        <f>IF(基本情報入力シート!Q53="", "", 基本情報入力シート!Q53)</f>
        <v>茨城県</v>
      </c>
      <c r="I25" s="457" t="str">
        <f>IF(基本情報入力シート!V53="", "", 基本情報入力シート!V53)</f>
        <v>龍ケ崎市</v>
      </c>
      <c r="J25" s="457" t="str">
        <f>IF(基本情報入力シート!W53="", "", 基本情報入力シート!W53)</f>
        <v>○○デイケアセンター</v>
      </c>
      <c r="K25" s="457" t="str">
        <f>IF(基本情報入力シート!Z53="", "", 基本情報入力シート!Z53)</f>
        <v>通所リハビリテーション</v>
      </c>
      <c r="L25" s="101">
        <f>IF(基本情報入力シート!AF53=0, "",基本情報入力シート!AF53)</f>
        <v>917000</v>
      </c>
      <c r="M25" s="142">
        <f>IF(AND(基本情報入力シート!AG53="",基本情報入力シート!AG53=""), "", 基本情報入力シート!AG53)</f>
        <v>10.55</v>
      </c>
      <c r="N25" s="136" t="s">
        <v>2598</v>
      </c>
      <c r="O25" s="155">
        <f>IFERROR(VLOOKUP(K25,【参考】数式用!$A$2:$M$57,MATCH(N25,【参考】数式用!$G$3:$M$3,0)+6,0),"")</f>
        <v>0.10299999999999999</v>
      </c>
      <c r="P25" s="458" t="s">
        <v>180</v>
      </c>
      <c r="Q25" s="141">
        <v>8</v>
      </c>
      <c r="R25" s="459" t="s">
        <v>271</v>
      </c>
      <c r="S25" s="141">
        <v>6</v>
      </c>
      <c r="T25" s="459" t="s">
        <v>272</v>
      </c>
      <c r="U25" s="141">
        <v>9</v>
      </c>
      <c r="V25" s="459" t="s">
        <v>271</v>
      </c>
      <c r="W25" s="141">
        <v>3</v>
      </c>
      <c r="X25" s="459" t="s">
        <v>182</v>
      </c>
      <c r="Y25" s="459" t="s">
        <v>274</v>
      </c>
      <c r="Z25" s="459">
        <f t="shared" si="15"/>
        <v>10</v>
      </c>
      <c r="AA25" s="460" t="s">
        <v>275</v>
      </c>
      <c r="AB25" s="461">
        <f t="shared" si="16"/>
        <v>9964580</v>
      </c>
      <c r="AC25" s="462">
        <f>IFERROR(ROUNDDOWN(ROUNDDOWN(ROUND(L25*VLOOKUP(K25,【参考】数式用!$A$2:$M$57,MATCH("処遇改善加算Ⅳ",【参考】数式用!$G$3:$M$3,0)+6,0),0)*M25,0)*Z25*0.5,0), "")</f>
        <v>3386020</v>
      </c>
      <c r="AD25" s="156" t="s">
        <v>2596</v>
      </c>
      <c r="AE25" s="157" t="s">
        <v>430</v>
      </c>
      <c r="AF25" s="157" t="s">
        <v>430</v>
      </c>
      <c r="AG25" s="158">
        <v>0</v>
      </c>
      <c r="AH25" s="159" t="s">
        <v>430</v>
      </c>
      <c r="AI25" s="160" t="s">
        <v>402</v>
      </c>
      <c r="AJ25" s="161" t="s">
        <v>405</v>
      </c>
      <c r="AK25" s="545" t="str">
        <f t="shared" si="17"/>
        <v/>
      </c>
      <c r="AL25" s="546" t="str">
        <f t="shared" si="0"/>
        <v/>
      </c>
      <c r="AM25" s="547"/>
      <c r="AN25" s="548" t="str">
        <f>IFERROR(VLOOKUP(K25,【参考】数式用!$A$2:$N$57,14,FALSE),"")</f>
        <v>加算対象</v>
      </c>
      <c r="AO25" s="548" t="str">
        <f t="shared" si="1"/>
        <v>N列に色付け</v>
      </c>
      <c r="AP25" s="549" t="str">
        <f t="shared" si="18"/>
        <v>入力済</v>
      </c>
      <c r="AQ25" s="549" t="str">
        <f t="shared" si="19"/>
        <v>キャリアパス要件Ⅰ・Ⅱ_加算対象</v>
      </c>
      <c r="AR25" s="550" t="str">
        <f t="shared" si="20"/>
        <v>入力済</v>
      </c>
      <c r="AS25" s="548" t="str">
        <f t="shared" si="2"/>
        <v>AF列に色付け</v>
      </c>
      <c r="AT25" s="550" t="str">
        <f t="shared" si="3"/>
        <v>入力済</v>
      </c>
      <c r="AU25" s="550" t="str">
        <f t="shared" si="4"/>
        <v>対象</v>
      </c>
      <c r="AV25" s="550">
        <f t="shared" si="5"/>
        <v>1</v>
      </c>
      <c r="AW25" s="548" t="str">
        <f t="shared" si="6"/>
        <v>AH列に色付け</v>
      </c>
      <c r="AX25" s="548" t="str">
        <f t="shared" si="7"/>
        <v>入力済</v>
      </c>
      <c r="AY25" s="550" t="str">
        <f>IFERROR(VLOOKUP(K25,【参考】数式用!$AR$3:$AS$49, 2, FALSE), "")</f>
        <v>通所リハビリテーションⅤ</v>
      </c>
      <c r="AZ25" s="548" t="str">
        <f t="shared" si="8"/>
        <v>AI列に色付け</v>
      </c>
      <c r="BA25" s="551" t="str">
        <f t="shared" si="21"/>
        <v>入力済</v>
      </c>
      <c r="BB25" s="550" t="str">
        <f>IFERROR(VLOOKUP(K25,【参考】数式用!$AX$3:$AY$56, 2, FALSE), "")</f>
        <v>通所リハビリテーションR8</v>
      </c>
      <c r="BC25" s="548" t="str">
        <f t="shared" si="9"/>
        <v>AJ列に色付け</v>
      </c>
      <c r="BD25" s="551" t="str">
        <f t="shared" si="22"/>
        <v>入力済</v>
      </c>
      <c r="BE25" s="551" t="str">
        <f t="shared" si="10"/>
        <v/>
      </c>
      <c r="BF25" s="551" t="str">
        <f t="shared" si="11"/>
        <v/>
      </c>
      <c r="BG25" s="551" t="str">
        <f t="shared" si="12"/>
        <v>入力必要</v>
      </c>
      <c r="BH25" s="551" t="str">
        <f t="shared" si="13"/>
        <v>入力済</v>
      </c>
      <c r="BI25" s="551" t="str">
        <f t="shared" si="14"/>
        <v>茨城県</v>
      </c>
    </row>
    <row r="26" spans="1:61" s="553" customFormat="1" ht="109.95" customHeight="1" thickBot="1">
      <c r="A26" s="456">
        <v>15</v>
      </c>
      <c r="B26" s="724" t="str">
        <f>IF(基本情報入力シート!B54="","",基本情報入力シート!B54)</f>
        <v>0811111117</v>
      </c>
      <c r="C26" s="725"/>
      <c r="D26" s="725"/>
      <c r="E26" s="725"/>
      <c r="F26" s="726"/>
      <c r="G26" s="457" t="str">
        <f>IF(基本情報入力シート!L54="", "", 基本情報入力シート!L54)</f>
        <v>茨城県</v>
      </c>
      <c r="H26" s="457" t="str">
        <f>IF(基本情報入力シート!Q54="", "", 基本情報入力シート!Q54)</f>
        <v>茨城県</v>
      </c>
      <c r="I26" s="457" t="str">
        <f>IF(基本情報入力シート!V54="", "", 基本情報入力シート!V54)</f>
        <v>龍ケ崎市</v>
      </c>
      <c r="J26" s="457" t="str">
        <f>IF(基本情報入力シート!W54="", "", 基本情報入力シート!W54)</f>
        <v>○○デイケアセンター</v>
      </c>
      <c r="K26" s="457" t="str">
        <f>IF(基本情報入力シート!Z54="", "", 基本情報入力シート!Z54)</f>
        <v>介護予防通所リハビリテーション</v>
      </c>
      <c r="L26" s="101">
        <f>IF(基本情報入力シート!AF54=0, "",基本情報入力シート!AF54)</f>
        <v>917000</v>
      </c>
      <c r="M26" s="142">
        <f>IF(AND(基本情報入力シート!AG54="",基本情報入力シート!AG54=""), "", 基本情報入力シート!AG54)</f>
        <v>10.55</v>
      </c>
      <c r="N26" s="136" t="s">
        <v>2598</v>
      </c>
      <c r="O26" s="155">
        <f>IFERROR(VLOOKUP(K26,【参考】数式用!$A$2:$M$57,MATCH(N26,【参考】数式用!$G$3:$M$3,0)+6,0),"")</f>
        <v>0.10299999999999999</v>
      </c>
      <c r="P26" s="458" t="s">
        <v>180</v>
      </c>
      <c r="Q26" s="141">
        <v>8</v>
      </c>
      <c r="R26" s="459" t="s">
        <v>271</v>
      </c>
      <c r="S26" s="141">
        <v>6</v>
      </c>
      <c r="T26" s="459" t="s">
        <v>272</v>
      </c>
      <c r="U26" s="141">
        <v>9</v>
      </c>
      <c r="V26" s="459" t="s">
        <v>271</v>
      </c>
      <c r="W26" s="141">
        <v>3</v>
      </c>
      <c r="X26" s="459" t="s">
        <v>182</v>
      </c>
      <c r="Y26" s="459" t="s">
        <v>274</v>
      </c>
      <c r="Z26" s="459">
        <f t="shared" si="15"/>
        <v>10</v>
      </c>
      <c r="AA26" s="460" t="s">
        <v>275</v>
      </c>
      <c r="AB26" s="461">
        <f t="shared" si="16"/>
        <v>9964580</v>
      </c>
      <c r="AC26" s="462">
        <f>IFERROR(ROUNDDOWN(ROUNDDOWN(ROUND(L26*VLOOKUP(K26,【参考】数式用!$A$2:$M$57,MATCH("処遇改善加算Ⅳ",【参考】数式用!$G$3:$M$3,0)+6,0),0)*M26,0)*Z26*0.5,0), "")</f>
        <v>3386020</v>
      </c>
      <c r="AD26" s="156" t="s">
        <v>2596</v>
      </c>
      <c r="AE26" s="157" t="s">
        <v>430</v>
      </c>
      <c r="AF26" s="157" t="s">
        <v>430</v>
      </c>
      <c r="AG26" s="158">
        <v>0</v>
      </c>
      <c r="AH26" s="159" t="s">
        <v>430</v>
      </c>
      <c r="AI26" s="160" t="s">
        <v>402</v>
      </c>
      <c r="AJ26" s="161" t="s">
        <v>405</v>
      </c>
      <c r="AK26" s="545" t="str">
        <f t="shared" si="17"/>
        <v/>
      </c>
      <c r="AL26" s="546" t="str">
        <f t="shared" si="0"/>
        <v/>
      </c>
      <c r="AM26" s="547"/>
      <c r="AN26" s="548" t="str">
        <f>IFERROR(VLOOKUP(K26,【参考】数式用!$A$2:$N$57,14,FALSE),"")</f>
        <v>加算対象</v>
      </c>
      <c r="AO26" s="548" t="str">
        <f t="shared" si="1"/>
        <v>N列に色付け</v>
      </c>
      <c r="AP26" s="549" t="str">
        <f t="shared" si="18"/>
        <v>入力済</v>
      </c>
      <c r="AQ26" s="549" t="str">
        <f t="shared" si="19"/>
        <v>キャリアパス要件Ⅰ・Ⅱ_加算対象</v>
      </c>
      <c r="AR26" s="550" t="str">
        <f t="shared" si="20"/>
        <v>入力済</v>
      </c>
      <c r="AS26" s="548" t="str">
        <f t="shared" si="2"/>
        <v>AF列に色付け</v>
      </c>
      <c r="AT26" s="550" t="str">
        <f t="shared" si="3"/>
        <v>入力済</v>
      </c>
      <c r="AU26" s="550" t="str">
        <f t="shared" si="4"/>
        <v>対象</v>
      </c>
      <c r="AV26" s="550">
        <f t="shared" si="5"/>
        <v>1</v>
      </c>
      <c r="AW26" s="548" t="str">
        <f t="shared" si="6"/>
        <v>AH列に色付け</v>
      </c>
      <c r="AX26" s="548" t="str">
        <f t="shared" si="7"/>
        <v>入力済</v>
      </c>
      <c r="AY26" s="550" t="str">
        <f>IFERROR(VLOOKUP(K26,【参考】数式用!$AR$3:$AS$49, 2, FALSE), "")</f>
        <v>介護予防通所リハビリテーションⅤ</v>
      </c>
      <c r="AZ26" s="548" t="str">
        <f t="shared" si="8"/>
        <v>AI列に色付け</v>
      </c>
      <c r="BA26" s="551" t="str">
        <f t="shared" si="21"/>
        <v>入力済</v>
      </c>
      <c r="BB26" s="550" t="str">
        <f>IFERROR(VLOOKUP(K26,【参考】数式用!$AX$3:$AY$56, 2, FALSE), "")</f>
        <v>介護予防通所リハビリテーションR8</v>
      </c>
      <c r="BC26" s="548" t="str">
        <f t="shared" si="9"/>
        <v>AJ列に色付け</v>
      </c>
      <c r="BD26" s="551" t="str">
        <f t="shared" si="22"/>
        <v>入力済</v>
      </c>
      <c r="BE26" s="551" t="str">
        <f t="shared" si="10"/>
        <v/>
      </c>
      <c r="BF26" s="551" t="str">
        <f t="shared" si="11"/>
        <v/>
      </c>
      <c r="BG26" s="551" t="str">
        <f t="shared" si="12"/>
        <v>入力必要</v>
      </c>
      <c r="BH26" s="551" t="str">
        <f t="shared" si="13"/>
        <v>入力済</v>
      </c>
      <c r="BI26" s="551" t="str">
        <f t="shared" si="14"/>
        <v>茨城県</v>
      </c>
    </row>
    <row r="27" spans="1:61" s="553" customFormat="1" ht="109.95" customHeight="1" thickBot="1">
      <c r="A27" s="456">
        <v>16</v>
      </c>
      <c r="B27" s="724" t="str">
        <f>IF(基本情報入力シート!B55="","",基本情報入力シート!B55)</f>
        <v>0811111118</v>
      </c>
      <c r="C27" s="725"/>
      <c r="D27" s="725"/>
      <c r="E27" s="725"/>
      <c r="F27" s="726"/>
      <c r="G27" s="457" t="str">
        <f>IF(基本情報入力シート!L55="", "", 基本情報入力シート!L55)</f>
        <v>茨城県</v>
      </c>
      <c r="H27" s="457" t="str">
        <f>IF(基本情報入力シート!Q55="", "", 基本情報入力シート!Q55)</f>
        <v>茨城県</v>
      </c>
      <c r="I27" s="457" t="str">
        <f>IF(基本情報入力シート!V55="", "", 基本情報入力シート!V55)</f>
        <v>下妻市</v>
      </c>
      <c r="J27" s="457" t="str">
        <f>IF(基本情報入力シート!W55="", "", 基本情報入力シート!W55)</f>
        <v>特定施設入居者生活介護事業所　○○</v>
      </c>
      <c r="K27" s="457" t="str">
        <f>IF(基本情報入力シート!Z55="", "", 基本情報入力シート!Z55)</f>
        <v>特定施設入居者生活介護</v>
      </c>
      <c r="L27" s="101">
        <f>IF(基本情報入力シート!AF55=0, "",基本情報入力シート!AF55)</f>
        <v>878000</v>
      </c>
      <c r="M27" s="142">
        <f>IF(AND(基本情報入力シート!AG55="",基本情報入力シート!AG55=""), "", 基本情報入力シート!AG55)</f>
        <v>10.14</v>
      </c>
      <c r="N27" s="136" t="s">
        <v>2598</v>
      </c>
      <c r="O27" s="155">
        <f>IFERROR(VLOOKUP(K27,【参考】数式用!$A$2:$M$57,MATCH(N27,【参考】数式用!$G$3:$M$3,0)+6,0),"")</f>
        <v>0.14799999999999999</v>
      </c>
      <c r="P27" s="458" t="s">
        <v>180</v>
      </c>
      <c r="Q27" s="141">
        <v>8</v>
      </c>
      <c r="R27" s="459" t="s">
        <v>271</v>
      </c>
      <c r="S27" s="141">
        <v>6</v>
      </c>
      <c r="T27" s="459" t="s">
        <v>272</v>
      </c>
      <c r="U27" s="141">
        <v>9</v>
      </c>
      <c r="V27" s="459" t="s">
        <v>271</v>
      </c>
      <c r="W27" s="141">
        <v>3</v>
      </c>
      <c r="X27" s="459" t="s">
        <v>273</v>
      </c>
      <c r="Y27" s="459" t="s">
        <v>274</v>
      </c>
      <c r="Z27" s="459">
        <f t="shared" si="15"/>
        <v>10</v>
      </c>
      <c r="AA27" s="460" t="s">
        <v>275</v>
      </c>
      <c r="AB27" s="461">
        <f t="shared" si="16"/>
        <v>13176320</v>
      </c>
      <c r="AC27" s="462">
        <f>IFERROR(ROUNDDOWN(ROUNDDOWN(ROUND(L27*VLOOKUP(K27,【参考】数式用!$A$2:$M$57,MATCH("処遇改善加算Ⅳ",【参考】数式用!$G$3:$M$3,0)+6,0),0)*M27,0)*Z27*0.5,0), "")</f>
        <v>4807575</v>
      </c>
      <c r="AD27" s="156" t="s">
        <v>2596</v>
      </c>
      <c r="AE27" s="157" t="s">
        <v>2596</v>
      </c>
      <c r="AF27" s="157" t="s">
        <v>2596</v>
      </c>
      <c r="AG27" s="158">
        <v>1</v>
      </c>
      <c r="AH27" s="159"/>
      <c r="AI27" s="160" t="s">
        <v>403</v>
      </c>
      <c r="AJ27" s="161"/>
      <c r="AK27" s="545" t="str">
        <f t="shared" si="17"/>
        <v/>
      </c>
      <c r="AL27" s="546" t="str">
        <f t="shared" si="0"/>
        <v/>
      </c>
      <c r="AM27" s="547"/>
      <c r="AN27" s="548" t="str">
        <f>IFERROR(VLOOKUP(K27,【参考】数式用!$A$2:$N$57,14,FALSE),"")</f>
        <v>加算対象</v>
      </c>
      <c r="AO27" s="548" t="str">
        <f t="shared" si="1"/>
        <v>N列に色付け</v>
      </c>
      <c r="AP27" s="549" t="str">
        <f t="shared" si="18"/>
        <v>入力済</v>
      </c>
      <c r="AQ27" s="549" t="str">
        <f t="shared" si="19"/>
        <v>キャリアパス要件Ⅰ・Ⅱ_加算対象</v>
      </c>
      <c r="AR27" s="550" t="str">
        <f t="shared" si="20"/>
        <v>入力済</v>
      </c>
      <c r="AS27" s="548" t="str">
        <f t="shared" si="2"/>
        <v>AF列に色付け</v>
      </c>
      <c r="AT27" s="550" t="str">
        <f t="shared" si="3"/>
        <v>入力済</v>
      </c>
      <c r="AU27" s="550" t="str">
        <f t="shared" si="4"/>
        <v>対象</v>
      </c>
      <c r="AV27" s="550">
        <f t="shared" si="5"/>
        <v>1</v>
      </c>
      <c r="AW27" s="548" t="str">
        <f t="shared" si="6"/>
        <v/>
      </c>
      <c r="AX27" s="548" t="str">
        <f t="shared" si="7"/>
        <v>入力済</v>
      </c>
      <c r="AY27" s="550" t="str">
        <f>IFERROR(VLOOKUP(K27,【参考】数式用!$AR$3:$AS$49, 2, FALSE), "")</f>
        <v>特定施設入居者生活介護Ⅴ</v>
      </c>
      <c r="AZ27" s="548" t="str">
        <f t="shared" si="8"/>
        <v>AI列に色付け</v>
      </c>
      <c r="BA27" s="551" t="str">
        <f t="shared" si="21"/>
        <v>入力済</v>
      </c>
      <c r="BB27" s="550" t="str">
        <f>IFERROR(VLOOKUP(K27,【参考】数式用!$AX$3:$AY$56, 2, FALSE), "")</f>
        <v>特定施設入居者生活介護R8</v>
      </c>
      <c r="BC27" s="548" t="str">
        <f t="shared" si="9"/>
        <v/>
      </c>
      <c r="BD27" s="551" t="str">
        <f t="shared" si="22"/>
        <v>入力済</v>
      </c>
      <c r="BE27" s="551" t="str">
        <f t="shared" si="10"/>
        <v/>
      </c>
      <c r="BF27" s="551" t="str">
        <f t="shared" si="11"/>
        <v/>
      </c>
      <c r="BG27" s="551" t="str">
        <f t="shared" si="12"/>
        <v/>
      </c>
      <c r="BH27" s="551" t="str">
        <f t="shared" si="13"/>
        <v/>
      </c>
      <c r="BI27" s="551" t="str">
        <f t="shared" si="14"/>
        <v>茨城県</v>
      </c>
    </row>
    <row r="28" spans="1:61" s="553" customFormat="1" ht="109.95" customHeight="1" thickBot="1">
      <c r="A28" s="456">
        <v>17</v>
      </c>
      <c r="B28" s="724" t="str">
        <f>IF(基本情報入力シート!B56="","",基本情報入力シート!B56)</f>
        <v>0811111118</v>
      </c>
      <c r="C28" s="725"/>
      <c r="D28" s="725"/>
      <c r="E28" s="725"/>
      <c r="F28" s="726"/>
      <c r="G28" s="457" t="str">
        <f>IF(基本情報入力シート!L56="", "", 基本情報入力シート!L56)</f>
        <v>茨城県</v>
      </c>
      <c r="H28" s="457" t="str">
        <f>IF(基本情報入力シート!Q56="", "", 基本情報入力シート!Q56)</f>
        <v>茨城県</v>
      </c>
      <c r="I28" s="457" t="str">
        <f>IF(基本情報入力シート!V56="", "", 基本情報入力シート!V56)</f>
        <v>下妻市</v>
      </c>
      <c r="J28" s="457" t="str">
        <f>IF(基本情報入力シート!W56="", "", 基本情報入力シート!W56)</f>
        <v>特定施設入居者生活介護事業所　○○</v>
      </c>
      <c r="K28" s="457" t="str">
        <f>IF(基本情報入力シート!Z56="", "", 基本情報入力シート!Z56)</f>
        <v>特定施設入居者生活介護（短期利用型）</v>
      </c>
      <c r="L28" s="101">
        <f>IF(基本情報入力シート!AF56=0, "",基本情報入力シート!AF56)</f>
        <v>878000</v>
      </c>
      <c r="M28" s="142">
        <f>IF(AND(基本情報入力シート!AG56="",基本情報入力シート!AG56=""), "", 基本情報入力シート!AG56)</f>
        <v>10.14</v>
      </c>
      <c r="N28" s="136" t="s">
        <v>2598</v>
      </c>
      <c r="O28" s="155">
        <f>IFERROR(VLOOKUP(K28,【参考】数式用!$A$2:$M$57,MATCH(N28,【参考】数式用!$G$3:$M$3,0)+6,0),"")</f>
        <v>0.14799999999999999</v>
      </c>
      <c r="P28" s="458" t="s">
        <v>180</v>
      </c>
      <c r="Q28" s="141">
        <v>8</v>
      </c>
      <c r="R28" s="459" t="s">
        <v>271</v>
      </c>
      <c r="S28" s="141">
        <v>6</v>
      </c>
      <c r="T28" s="459" t="s">
        <v>272</v>
      </c>
      <c r="U28" s="141">
        <v>9</v>
      </c>
      <c r="V28" s="459" t="s">
        <v>271</v>
      </c>
      <c r="W28" s="141">
        <v>3</v>
      </c>
      <c r="X28" s="459" t="s">
        <v>273</v>
      </c>
      <c r="Y28" s="459" t="s">
        <v>274</v>
      </c>
      <c r="Z28" s="459">
        <f t="shared" si="15"/>
        <v>10</v>
      </c>
      <c r="AA28" s="460" t="s">
        <v>275</v>
      </c>
      <c r="AB28" s="461">
        <f t="shared" si="16"/>
        <v>13176320</v>
      </c>
      <c r="AC28" s="462">
        <f>IFERROR(ROUNDDOWN(ROUNDDOWN(ROUND(L28*VLOOKUP(K28,【参考】数式用!$A$2:$M$57,MATCH("処遇改善加算Ⅳ",【参考】数式用!$G$3:$M$3,0)+6,0),0)*M28,0)*Z28*0.5,0), "")</f>
        <v>4807575</v>
      </c>
      <c r="AD28" s="156" t="s">
        <v>2596</v>
      </c>
      <c r="AE28" s="157" t="s">
        <v>2596</v>
      </c>
      <c r="AF28" s="157" t="s">
        <v>2596</v>
      </c>
      <c r="AG28" s="158">
        <v>1</v>
      </c>
      <c r="AH28" s="159"/>
      <c r="AI28" s="160" t="s">
        <v>403</v>
      </c>
      <c r="AJ28" s="161"/>
      <c r="AK28" s="545" t="str">
        <f t="shared" si="17"/>
        <v/>
      </c>
      <c r="AL28" s="546" t="str">
        <f t="shared" si="0"/>
        <v/>
      </c>
      <c r="AM28" s="547"/>
      <c r="AN28" s="548" t="str">
        <f>IFERROR(VLOOKUP(K28,【参考】数式用!$A$2:$N$57,14,FALSE),"")</f>
        <v>加算対象</v>
      </c>
      <c r="AO28" s="548" t="str">
        <f t="shared" si="1"/>
        <v>N列に色付け</v>
      </c>
      <c r="AP28" s="549" t="str">
        <f t="shared" si="18"/>
        <v>入力済</v>
      </c>
      <c r="AQ28" s="549" t="str">
        <f t="shared" si="19"/>
        <v>キャリアパス要件Ⅰ・Ⅱ_加算対象</v>
      </c>
      <c r="AR28" s="550" t="str">
        <f t="shared" si="20"/>
        <v>入力済</v>
      </c>
      <c r="AS28" s="548" t="str">
        <f t="shared" si="2"/>
        <v>AF列に色付け</v>
      </c>
      <c r="AT28" s="550" t="str">
        <f t="shared" si="3"/>
        <v>入力済</v>
      </c>
      <c r="AU28" s="550" t="str">
        <f t="shared" si="4"/>
        <v>対象</v>
      </c>
      <c r="AV28" s="550">
        <f t="shared" si="5"/>
        <v>1</v>
      </c>
      <c r="AW28" s="548" t="str">
        <f t="shared" si="6"/>
        <v/>
      </c>
      <c r="AX28" s="548" t="str">
        <f t="shared" si="7"/>
        <v>入力済</v>
      </c>
      <c r="AY28" s="550" t="str">
        <f>IFERROR(VLOOKUP(K28,【参考】数式用!$AR$3:$AS$49, 2, FALSE), "")</f>
        <v>特定施設入居者生活介護_短期利用型_Ⅴ</v>
      </c>
      <c r="AZ28" s="548" t="str">
        <f t="shared" si="8"/>
        <v>AI列に色付け</v>
      </c>
      <c r="BA28" s="551" t="str">
        <f t="shared" si="21"/>
        <v>入力済</v>
      </c>
      <c r="BB28" s="550" t="str">
        <f>IFERROR(VLOOKUP(K28,【参考】数式用!$AX$3:$AY$56, 2, FALSE), "")</f>
        <v>特定施設入居者生活介護_短期利用型_R8</v>
      </c>
      <c r="BC28" s="548" t="str">
        <f t="shared" si="9"/>
        <v/>
      </c>
      <c r="BD28" s="551" t="str">
        <f t="shared" si="22"/>
        <v>入力済</v>
      </c>
      <c r="BE28" s="551" t="str">
        <f t="shared" si="10"/>
        <v/>
      </c>
      <c r="BF28" s="551" t="str">
        <f t="shared" si="11"/>
        <v/>
      </c>
      <c r="BG28" s="551" t="str">
        <f t="shared" si="12"/>
        <v/>
      </c>
      <c r="BH28" s="551" t="str">
        <f t="shared" si="13"/>
        <v/>
      </c>
      <c r="BI28" s="551" t="str">
        <f t="shared" si="14"/>
        <v>茨城県</v>
      </c>
    </row>
    <row r="29" spans="1:61" s="553" customFormat="1" ht="109.95" customHeight="1" thickBot="1">
      <c r="A29" s="456">
        <v>18</v>
      </c>
      <c r="B29" s="724" t="str">
        <f>IF(基本情報入力シート!B57="","",基本情報入力シート!B57)</f>
        <v>0811111118</v>
      </c>
      <c r="C29" s="725"/>
      <c r="D29" s="725"/>
      <c r="E29" s="725"/>
      <c r="F29" s="726"/>
      <c r="G29" s="457" t="str">
        <f>IF(基本情報入力シート!L57="", "", 基本情報入力シート!L57)</f>
        <v>茨城県</v>
      </c>
      <c r="H29" s="457" t="str">
        <f>IF(基本情報入力シート!Q57="", "", 基本情報入力シート!Q57)</f>
        <v>茨城県</v>
      </c>
      <c r="I29" s="457" t="str">
        <f>IF(基本情報入力シート!V57="", "", 基本情報入力シート!V57)</f>
        <v>下妻市</v>
      </c>
      <c r="J29" s="457" t="str">
        <f>IF(基本情報入力シート!W57="", "", 基本情報入力シート!W57)</f>
        <v>特定施設入居者生活介護事業所　○○</v>
      </c>
      <c r="K29" s="457" t="str">
        <f>IF(基本情報入力シート!Z57="", "", 基本情報入力シート!Z57)</f>
        <v>介護予防特定施設入居者生活介護</v>
      </c>
      <c r="L29" s="101">
        <f>IF(基本情報入力シート!AF57=0, "",基本情報入力シート!AF57)</f>
        <v>878000</v>
      </c>
      <c r="M29" s="142">
        <f>IF(AND(基本情報入力シート!AG57="",基本情報入力シート!AG57=""), "", 基本情報入力シート!AG57)</f>
        <v>10.14</v>
      </c>
      <c r="N29" s="136" t="s">
        <v>2598</v>
      </c>
      <c r="O29" s="155">
        <f>IFERROR(VLOOKUP(K29,【参考】数式用!$A$2:$M$57,MATCH(N29,【参考】数式用!$G$3:$M$3,0)+6,0),"")</f>
        <v>0.14799999999999999</v>
      </c>
      <c r="P29" s="458" t="s">
        <v>180</v>
      </c>
      <c r="Q29" s="141">
        <v>8</v>
      </c>
      <c r="R29" s="459" t="s">
        <v>271</v>
      </c>
      <c r="S29" s="141">
        <v>6</v>
      </c>
      <c r="T29" s="459" t="s">
        <v>272</v>
      </c>
      <c r="U29" s="141">
        <v>9</v>
      </c>
      <c r="V29" s="459" t="s">
        <v>271</v>
      </c>
      <c r="W29" s="141">
        <v>3</v>
      </c>
      <c r="X29" s="459" t="s">
        <v>273</v>
      </c>
      <c r="Y29" s="459" t="s">
        <v>274</v>
      </c>
      <c r="Z29" s="459">
        <f t="shared" si="15"/>
        <v>10</v>
      </c>
      <c r="AA29" s="460" t="s">
        <v>275</v>
      </c>
      <c r="AB29" s="461">
        <f t="shared" si="16"/>
        <v>13176320</v>
      </c>
      <c r="AC29" s="462">
        <f>IFERROR(ROUNDDOWN(ROUNDDOWN(ROUND(L29*VLOOKUP(K29,【参考】数式用!$A$2:$M$57,MATCH("処遇改善加算Ⅳ",【参考】数式用!$G$3:$M$3,0)+6,0),0)*M29,0)*Z29*0.5,0), "")</f>
        <v>4807575</v>
      </c>
      <c r="AD29" s="156" t="s">
        <v>2596</v>
      </c>
      <c r="AE29" s="157" t="s">
        <v>2596</v>
      </c>
      <c r="AF29" s="157" t="s">
        <v>2596</v>
      </c>
      <c r="AG29" s="158">
        <v>1</v>
      </c>
      <c r="AH29" s="159"/>
      <c r="AI29" s="160" t="s">
        <v>403</v>
      </c>
      <c r="AJ29" s="161"/>
      <c r="AK29" s="545" t="str">
        <f t="shared" si="17"/>
        <v/>
      </c>
      <c r="AL29" s="546" t="str">
        <f t="shared" si="0"/>
        <v/>
      </c>
      <c r="AM29" s="547"/>
      <c r="AN29" s="548" t="str">
        <f>IFERROR(VLOOKUP(K29,【参考】数式用!$A$2:$N$57,14,FALSE),"")</f>
        <v>加算対象</v>
      </c>
      <c r="AO29" s="548" t="str">
        <f t="shared" si="1"/>
        <v>N列に色付け</v>
      </c>
      <c r="AP29" s="549" t="str">
        <f t="shared" si="18"/>
        <v>入力済</v>
      </c>
      <c r="AQ29" s="549" t="str">
        <f t="shared" si="19"/>
        <v>キャリアパス要件Ⅰ・Ⅱ_加算対象</v>
      </c>
      <c r="AR29" s="550" t="str">
        <f t="shared" si="20"/>
        <v>入力済</v>
      </c>
      <c r="AS29" s="548" t="str">
        <f t="shared" si="2"/>
        <v>AF列に色付け</v>
      </c>
      <c r="AT29" s="550" t="str">
        <f t="shared" si="3"/>
        <v>入力済</v>
      </c>
      <c r="AU29" s="550" t="str">
        <f t="shared" si="4"/>
        <v>対象</v>
      </c>
      <c r="AV29" s="550">
        <f t="shared" si="5"/>
        <v>1</v>
      </c>
      <c r="AW29" s="548" t="str">
        <f t="shared" si="6"/>
        <v/>
      </c>
      <c r="AX29" s="548" t="str">
        <f t="shared" si="7"/>
        <v>入力済</v>
      </c>
      <c r="AY29" s="550" t="str">
        <f>IFERROR(VLOOKUP(K29,【参考】数式用!$AR$3:$AS$49, 2, FALSE), "")</f>
        <v>介護予防特定施設入居者生活介護Ⅴ</v>
      </c>
      <c r="AZ29" s="548" t="str">
        <f t="shared" si="8"/>
        <v>AI列に色付け</v>
      </c>
      <c r="BA29" s="551" t="str">
        <f t="shared" si="21"/>
        <v>入力済</v>
      </c>
      <c r="BB29" s="550" t="str">
        <f>IFERROR(VLOOKUP(K29,【参考】数式用!$AX$3:$AY$56, 2, FALSE), "")</f>
        <v>介護予防特定施設入居者生活介護R8</v>
      </c>
      <c r="BC29" s="548" t="str">
        <f t="shared" si="9"/>
        <v/>
      </c>
      <c r="BD29" s="551" t="str">
        <f t="shared" si="22"/>
        <v>入力済</v>
      </c>
      <c r="BE29" s="551" t="str">
        <f t="shared" si="10"/>
        <v/>
      </c>
      <c r="BF29" s="551" t="str">
        <f t="shared" si="11"/>
        <v/>
      </c>
      <c r="BG29" s="551" t="str">
        <f t="shared" si="12"/>
        <v/>
      </c>
      <c r="BH29" s="551" t="str">
        <f t="shared" si="13"/>
        <v/>
      </c>
      <c r="BI29" s="551" t="str">
        <f t="shared" si="14"/>
        <v>茨城県</v>
      </c>
    </row>
    <row r="30" spans="1:61" s="553" customFormat="1" ht="109.95" customHeight="1" thickBot="1">
      <c r="A30" s="456">
        <v>19</v>
      </c>
      <c r="B30" s="724" t="str">
        <f>IF(基本情報入力シート!B58="","",基本情報入力シート!B58)</f>
        <v>0811111119</v>
      </c>
      <c r="C30" s="725"/>
      <c r="D30" s="725"/>
      <c r="E30" s="725"/>
      <c r="F30" s="726"/>
      <c r="G30" s="457" t="str">
        <f>IF(基本情報入力シート!L58="", "", 基本情報入力シート!L58)</f>
        <v>常総市</v>
      </c>
      <c r="H30" s="457" t="str">
        <f>IF(基本情報入力シート!Q58="", "", 基本情報入力シート!Q58)</f>
        <v>茨城県</v>
      </c>
      <c r="I30" s="457" t="str">
        <f>IF(基本情報入力シート!V58="", "", 基本情報入力シート!V58)</f>
        <v>常総市</v>
      </c>
      <c r="J30" s="457" t="str">
        <f>IF(基本情報入力シート!W58="", "", 基本情報入力シート!W58)</f>
        <v>介護付きホーム　○○</v>
      </c>
      <c r="K30" s="457" t="str">
        <f>IF(基本情報入力シート!Z58="", "", 基本情報入力シート!Z58)</f>
        <v>地域密着型特定施設入居者生活介護</v>
      </c>
      <c r="L30" s="101">
        <f>IF(基本情報入力シート!AF58=0, "",基本情報入力シート!AF58)</f>
        <v>878000</v>
      </c>
      <c r="M30" s="142">
        <f>IF(AND(基本情報入力シート!AG58="",基本情報入力シート!AG58=""), "", 基本情報入力シート!AG58)</f>
        <v>10.14</v>
      </c>
      <c r="N30" s="136" t="s">
        <v>2598</v>
      </c>
      <c r="O30" s="155">
        <f>IFERROR(VLOOKUP(K30,【参考】数式用!$A$2:$M$57,MATCH(N30,【参考】数式用!$G$3:$M$3,0)+6,0),"")</f>
        <v>0.14799999999999999</v>
      </c>
      <c r="P30" s="458" t="s">
        <v>180</v>
      </c>
      <c r="Q30" s="141">
        <v>8</v>
      </c>
      <c r="R30" s="459" t="s">
        <v>271</v>
      </c>
      <c r="S30" s="141">
        <v>6</v>
      </c>
      <c r="T30" s="459" t="s">
        <v>272</v>
      </c>
      <c r="U30" s="141">
        <v>9</v>
      </c>
      <c r="V30" s="459" t="s">
        <v>271</v>
      </c>
      <c r="W30" s="141">
        <v>3</v>
      </c>
      <c r="X30" s="459" t="s">
        <v>182</v>
      </c>
      <c r="Y30" s="459" t="s">
        <v>274</v>
      </c>
      <c r="Z30" s="459">
        <f t="shared" si="15"/>
        <v>10</v>
      </c>
      <c r="AA30" s="460" t="s">
        <v>275</v>
      </c>
      <c r="AB30" s="461">
        <f t="shared" si="16"/>
        <v>13176320</v>
      </c>
      <c r="AC30" s="462">
        <f>IFERROR(ROUNDDOWN(ROUNDDOWN(ROUND(L30*VLOOKUP(K30,【参考】数式用!$A$2:$M$57,MATCH("処遇改善加算Ⅳ",【参考】数式用!$G$3:$M$3,0)+6,0),0)*M30,0)*Z30*0.5,0), "")</f>
        <v>4807575</v>
      </c>
      <c r="AD30" s="156" t="s">
        <v>2596</v>
      </c>
      <c r="AE30" s="157" t="s">
        <v>2596</v>
      </c>
      <c r="AF30" s="157" t="s">
        <v>2596</v>
      </c>
      <c r="AG30" s="158">
        <v>1</v>
      </c>
      <c r="AH30" s="159"/>
      <c r="AI30" s="160" t="s">
        <v>403</v>
      </c>
      <c r="AJ30" s="161"/>
      <c r="AK30" s="545" t="str">
        <f t="shared" si="17"/>
        <v/>
      </c>
      <c r="AL30" s="546" t="str">
        <f t="shared" si="0"/>
        <v/>
      </c>
      <c r="AM30" s="547"/>
      <c r="AN30" s="548" t="str">
        <f>IFERROR(VLOOKUP(K30,【参考】数式用!$A$2:$N$57,14,FALSE),"")</f>
        <v>加算対象</v>
      </c>
      <c r="AO30" s="548" t="str">
        <f t="shared" si="1"/>
        <v>N列に色付け</v>
      </c>
      <c r="AP30" s="549" t="str">
        <f t="shared" si="18"/>
        <v>入力済</v>
      </c>
      <c r="AQ30" s="549" t="str">
        <f t="shared" si="19"/>
        <v>キャリアパス要件Ⅰ・Ⅱ_加算対象</v>
      </c>
      <c r="AR30" s="550" t="str">
        <f t="shared" si="20"/>
        <v>入力済</v>
      </c>
      <c r="AS30" s="548" t="str">
        <f t="shared" si="2"/>
        <v>AF列に色付け</v>
      </c>
      <c r="AT30" s="550" t="str">
        <f t="shared" si="3"/>
        <v>入力済</v>
      </c>
      <c r="AU30" s="550" t="str">
        <f t="shared" si="4"/>
        <v>対象</v>
      </c>
      <c r="AV30" s="550">
        <f t="shared" si="5"/>
        <v>1</v>
      </c>
      <c r="AW30" s="548" t="str">
        <f t="shared" si="6"/>
        <v/>
      </c>
      <c r="AX30" s="548" t="str">
        <f t="shared" si="7"/>
        <v>入力済</v>
      </c>
      <c r="AY30" s="550" t="str">
        <f>IFERROR(VLOOKUP(K30,【参考】数式用!$AR$3:$AS$49, 2, FALSE), "")</f>
        <v>地域密着型特定施設入居者生活介護_Ⅴ</v>
      </c>
      <c r="AZ30" s="548" t="str">
        <f t="shared" si="8"/>
        <v>AI列に色付け</v>
      </c>
      <c r="BA30" s="551" t="str">
        <f t="shared" si="21"/>
        <v>入力済</v>
      </c>
      <c r="BB30" s="550" t="str">
        <f>IFERROR(VLOOKUP(K30,【参考】数式用!$AX$3:$AY$56, 2, FALSE), "")</f>
        <v>地域密着型特定施設入居者生活介護R8</v>
      </c>
      <c r="BC30" s="548" t="str">
        <f t="shared" si="9"/>
        <v/>
      </c>
      <c r="BD30" s="551" t="str">
        <f t="shared" si="22"/>
        <v>入力済</v>
      </c>
      <c r="BE30" s="551" t="str">
        <f t="shared" si="10"/>
        <v/>
      </c>
      <c r="BF30" s="551" t="str">
        <f t="shared" si="11"/>
        <v/>
      </c>
      <c r="BG30" s="551" t="str">
        <f t="shared" si="12"/>
        <v/>
      </c>
      <c r="BH30" s="551" t="str">
        <f t="shared" si="13"/>
        <v/>
      </c>
      <c r="BI30" s="551" t="str">
        <f t="shared" si="14"/>
        <v>常総市</v>
      </c>
    </row>
    <row r="31" spans="1:61" s="553" customFormat="1" ht="109.95" customHeight="1" thickBot="1">
      <c r="A31" s="456">
        <v>20</v>
      </c>
      <c r="B31" s="724" t="str">
        <f>IF(基本情報入力シート!B59="","",基本情報入力シート!B59)</f>
        <v>0811111119</v>
      </c>
      <c r="C31" s="725"/>
      <c r="D31" s="725"/>
      <c r="E31" s="725"/>
      <c r="F31" s="726"/>
      <c r="G31" s="457" t="str">
        <f>IF(基本情報入力シート!L59="", "", 基本情報入力シート!L59)</f>
        <v>常総市</v>
      </c>
      <c r="H31" s="457" t="str">
        <f>IF(基本情報入力シート!Q59="", "", 基本情報入力シート!Q59)</f>
        <v>茨城県</v>
      </c>
      <c r="I31" s="457" t="str">
        <f>IF(基本情報入力シート!V59="", "", 基本情報入力シート!V59)</f>
        <v>常総市</v>
      </c>
      <c r="J31" s="457" t="str">
        <f>IF(基本情報入力シート!W59="", "", 基本情報入力シート!W59)</f>
        <v>介護付きホーム　○○</v>
      </c>
      <c r="K31" s="457" t="str">
        <f>IF(基本情報入力シート!Z59="", "", 基本情報入力シート!Z59)</f>
        <v>地域密着型特定施設入居者生活介護（短期利用型）</v>
      </c>
      <c r="L31" s="101">
        <f>IF(基本情報入力シート!AF59=0, "",基本情報入力シート!AF59)</f>
        <v>878000</v>
      </c>
      <c r="M31" s="142">
        <f>IF(AND(基本情報入力シート!AG59="",基本情報入力シート!AG59=""), "", 基本情報入力シート!AG59)</f>
        <v>10.14</v>
      </c>
      <c r="N31" s="136" t="s">
        <v>2598</v>
      </c>
      <c r="O31" s="155">
        <f>IFERROR(VLOOKUP(K31,【参考】数式用!$A$2:$M$57,MATCH(N31,【参考】数式用!$G$3:$M$3,0)+6,0),"")</f>
        <v>0.14799999999999999</v>
      </c>
      <c r="P31" s="458" t="s">
        <v>180</v>
      </c>
      <c r="Q31" s="141">
        <v>8</v>
      </c>
      <c r="R31" s="459" t="s">
        <v>271</v>
      </c>
      <c r="S31" s="141">
        <v>6</v>
      </c>
      <c r="T31" s="459" t="s">
        <v>272</v>
      </c>
      <c r="U31" s="141">
        <v>9</v>
      </c>
      <c r="V31" s="459" t="s">
        <v>271</v>
      </c>
      <c r="W31" s="141">
        <v>3</v>
      </c>
      <c r="X31" s="459" t="s">
        <v>273</v>
      </c>
      <c r="Y31" s="459" t="s">
        <v>274</v>
      </c>
      <c r="Z31" s="459">
        <f t="shared" si="15"/>
        <v>10</v>
      </c>
      <c r="AA31" s="460" t="s">
        <v>275</v>
      </c>
      <c r="AB31" s="461">
        <f t="shared" si="16"/>
        <v>13176320</v>
      </c>
      <c r="AC31" s="462">
        <f>IFERROR(ROUNDDOWN(ROUNDDOWN(ROUND(L31*VLOOKUP(K31,【参考】数式用!$A$2:$M$57,MATCH("処遇改善加算Ⅳ",【参考】数式用!$G$3:$M$3,0)+6,0),0)*M31,0)*Z31*0.5,0), "")</f>
        <v>4807575</v>
      </c>
      <c r="AD31" s="156" t="s">
        <v>2596</v>
      </c>
      <c r="AE31" s="157" t="s">
        <v>2596</v>
      </c>
      <c r="AF31" s="157" t="s">
        <v>2596</v>
      </c>
      <c r="AG31" s="158">
        <v>1</v>
      </c>
      <c r="AH31" s="159"/>
      <c r="AI31" s="160" t="s">
        <v>403</v>
      </c>
      <c r="AJ31" s="161"/>
      <c r="AK31" s="545" t="str">
        <f t="shared" si="17"/>
        <v/>
      </c>
      <c r="AL31" s="546" t="str">
        <f t="shared" si="0"/>
        <v/>
      </c>
      <c r="AM31" s="547"/>
      <c r="AN31" s="548" t="str">
        <f>IFERROR(VLOOKUP(K31,【参考】数式用!$A$2:$N$57,14,FALSE),"")</f>
        <v>加算対象</v>
      </c>
      <c r="AO31" s="548" t="str">
        <f t="shared" si="1"/>
        <v>N列に色付け</v>
      </c>
      <c r="AP31" s="549" t="str">
        <f t="shared" si="18"/>
        <v>入力済</v>
      </c>
      <c r="AQ31" s="549" t="str">
        <f t="shared" si="19"/>
        <v>キャリアパス要件Ⅰ・Ⅱ_加算対象</v>
      </c>
      <c r="AR31" s="550" t="str">
        <f t="shared" si="20"/>
        <v>入力済</v>
      </c>
      <c r="AS31" s="548" t="str">
        <f t="shared" si="2"/>
        <v>AF列に色付け</v>
      </c>
      <c r="AT31" s="550" t="str">
        <f t="shared" si="3"/>
        <v>入力済</v>
      </c>
      <c r="AU31" s="550" t="str">
        <f t="shared" si="4"/>
        <v>対象</v>
      </c>
      <c r="AV31" s="550">
        <f t="shared" si="5"/>
        <v>1</v>
      </c>
      <c r="AW31" s="548" t="str">
        <f t="shared" si="6"/>
        <v/>
      </c>
      <c r="AX31" s="548" t="str">
        <f t="shared" si="7"/>
        <v>入力済</v>
      </c>
      <c r="AY31" s="550" t="str">
        <f>IFERROR(VLOOKUP(K31,【参考】数式用!$AR$3:$AS$49, 2, FALSE), "")</f>
        <v>地域密着型特定施設入居者生活介護_短期利用型_Ⅴ</v>
      </c>
      <c r="AZ31" s="548" t="str">
        <f t="shared" si="8"/>
        <v>AI列に色付け</v>
      </c>
      <c r="BA31" s="551" t="str">
        <f t="shared" si="21"/>
        <v>入力済</v>
      </c>
      <c r="BB31" s="550" t="str">
        <f>IFERROR(VLOOKUP(K31,【参考】数式用!$AX$3:$AY$56, 2, FALSE), "")</f>
        <v>地域密着型特定施設入居者生活介護_短期利用型_R8</v>
      </c>
      <c r="BC31" s="548" t="str">
        <f t="shared" si="9"/>
        <v/>
      </c>
      <c r="BD31" s="551" t="str">
        <f t="shared" si="22"/>
        <v>入力済</v>
      </c>
      <c r="BE31" s="551" t="str">
        <f t="shared" si="10"/>
        <v/>
      </c>
      <c r="BF31" s="551" t="str">
        <f t="shared" si="11"/>
        <v/>
      </c>
      <c r="BG31" s="551" t="str">
        <f t="shared" si="12"/>
        <v/>
      </c>
      <c r="BH31" s="551" t="str">
        <f t="shared" si="13"/>
        <v/>
      </c>
      <c r="BI31" s="551" t="str">
        <f t="shared" si="14"/>
        <v>常総市</v>
      </c>
    </row>
    <row r="32" spans="1:61" s="553" customFormat="1" ht="109.95" customHeight="1" thickBot="1">
      <c r="A32" s="456">
        <v>21</v>
      </c>
      <c r="B32" s="724" t="str">
        <f>IF(基本情報入力シート!B60="","",基本情報入力シート!B60)</f>
        <v>0811111120</v>
      </c>
      <c r="C32" s="725"/>
      <c r="D32" s="725"/>
      <c r="E32" s="725"/>
      <c r="F32" s="726"/>
      <c r="G32" s="457" t="str">
        <f>IF(基本情報入力シート!L60="", "", 基本情報入力シート!L60)</f>
        <v>常陸太田市</v>
      </c>
      <c r="H32" s="457" t="str">
        <f>IF(基本情報入力シート!Q60="", "", 基本情報入力シート!Q60)</f>
        <v>茨城県</v>
      </c>
      <c r="I32" s="457" t="str">
        <f>IF(基本情報入力シート!V60="", "", 基本情報入力シート!V60)</f>
        <v>常陸太田市</v>
      </c>
      <c r="J32" s="457" t="str">
        <f>IF(基本情報入力シート!W60="", "", 基本情報入力シート!W60)</f>
        <v>デイサービスセンター　○○</v>
      </c>
      <c r="K32" s="457" t="str">
        <f>IF(基本情報入力シート!Z60="", "", 基本情報入力シート!Z60)</f>
        <v>認知症対応型通所介護</v>
      </c>
      <c r="L32" s="101">
        <f>IF(基本情報入力シート!AF60=0, "",基本情報入力シート!AF60)</f>
        <v>826000</v>
      </c>
      <c r="M32" s="142">
        <f>IF(AND(基本情報入力シート!AG60="",基本情報入力シート!AG60=""), "", 基本情報入力シート!AG60)</f>
        <v>10</v>
      </c>
      <c r="N32" s="136" t="s">
        <v>2600</v>
      </c>
      <c r="O32" s="155">
        <f>IFERROR(VLOOKUP(K32,【参考】数式用!$A$2:$M$57,MATCH(N32,【参考】数式用!$G$3:$M$3,0)+6,0),"")</f>
        <v>0.22900000000000001</v>
      </c>
      <c r="P32" s="458" t="s">
        <v>180</v>
      </c>
      <c r="Q32" s="141">
        <v>8</v>
      </c>
      <c r="R32" s="459" t="s">
        <v>271</v>
      </c>
      <c r="S32" s="141">
        <v>6</v>
      </c>
      <c r="T32" s="459" t="s">
        <v>272</v>
      </c>
      <c r="U32" s="141">
        <v>9</v>
      </c>
      <c r="V32" s="459" t="s">
        <v>271</v>
      </c>
      <c r="W32" s="141">
        <v>3</v>
      </c>
      <c r="X32" s="459" t="s">
        <v>273</v>
      </c>
      <c r="Y32" s="459" t="s">
        <v>274</v>
      </c>
      <c r="Z32" s="459">
        <f t="shared" si="15"/>
        <v>10</v>
      </c>
      <c r="AA32" s="460" t="s">
        <v>275</v>
      </c>
      <c r="AB32" s="461">
        <f t="shared" si="16"/>
        <v>18915400</v>
      </c>
      <c r="AC32" s="462">
        <f>IFERROR(ROUNDDOWN(ROUNDDOWN(ROUND(L32*VLOOKUP(K32,【参考】数式用!$A$2:$M$57,MATCH("処遇改善加算Ⅳ",【参考】数式用!$G$3:$M$3,0)+6,0),0)*M32,0)*Z32*0.5,0), "")</f>
        <v>6484100</v>
      </c>
      <c r="AD32" s="156" t="s">
        <v>2596</v>
      </c>
      <c r="AE32" s="157" t="s">
        <v>2596</v>
      </c>
      <c r="AF32" s="157" t="s">
        <v>2596</v>
      </c>
      <c r="AG32" s="158">
        <v>0</v>
      </c>
      <c r="AH32" s="159" t="s">
        <v>430</v>
      </c>
      <c r="AI32" s="160"/>
      <c r="AJ32" s="161" t="s">
        <v>405</v>
      </c>
      <c r="AK32" s="545" t="str">
        <f t="shared" si="17"/>
        <v/>
      </c>
      <c r="AL32" s="546" t="str">
        <f t="shared" si="0"/>
        <v/>
      </c>
      <c r="AM32" s="547"/>
      <c r="AN32" s="548" t="str">
        <f>IFERROR(VLOOKUP(K32,【参考】数式用!$A$2:$N$57,14,FALSE),"")</f>
        <v>加算対象</v>
      </c>
      <c r="AO32" s="548" t="str">
        <f t="shared" si="1"/>
        <v>N列に色付け</v>
      </c>
      <c r="AP32" s="549" t="str">
        <f t="shared" si="18"/>
        <v>入力済</v>
      </c>
      <c r="AQ32" s="549" t="str">
        <f t="shared" si="19"/>
        <v>キャリアパス要件Ⅰ・Ⅱ_加算対象</v>
      </c>
      <c r="AR32" s="550" t="str">
        <f t="shared" si="20"/>
        <v>入力済</v>
      </c>
      <c r="AS32" s="548" t="str">
        <f t="shared" si="2"/>
        <v>AF列に色付け</v>
      </c>
      <c r="AT32" s="550" t="str">
        <f t="shared" si="3"/>
        <v>入力済</v>
      </c>
      <c r="AU32" s="550" t="str">
        <f t="shared" si="4"/>
        <v>対象</v>
      </c>
      <c r="AV32" s="550">
        <f t="shared" si="5"/>
        <v>1</v>
      </c>
      <c r="AW32" s="548" t="str">
        <f t="shared" si="6"/>
        <v>AH列に色付け</v>
      </c>
      <c r="AX32" s="548" t="str">
        <f t="shared" si="7"/>
        <v>入力済</v>
      </c>
      <c r="AY32" s="550" t="str">
        <f>IFERROR(VLOOKUP(K32,【参考】数式用!$AR$3:$AS$49, 2, FALSE), "")</f>
        <v>認知症対応型通所介護Ⅴ</v>
      </c>
      <c r="AZ32" s="548" t="str">
        <f t="shared" si="8"/>
        <v/>
      </c>
      <c r="BA32" s="551" t="str">
        <f t="shared" si="21"/>
        <v>入力済</v>
      </c>
      <c r="BB32" s="550" t="str">
        <f>IFERROR(VLOOKUP(K32,【参考】数式用!$AX$3:$AY$56, 2, FALSE), "")</f>
        <v>認知症対応型通所介護R8</v>
      </c>
      <c r="BC32" s="548" t="str">
        <f t="shared" si="9"/>
        <v>AJ列に色付け</v>
      </c>
      <c r="BD32" s="551" t="str">
        <f t="shared" si="22"/>
        <v>入力済</v>
      </c>
      <c r="BE32" s="551" t="str">
        <f t="shared" si="10"/>
        <v/>
      </c>
      <c r="BF32" s="551" t="str">
        <f t="shared" si="11"/>
        <v/>
      </c>
      <c r="BG32" s="551" t="str">
        <f t="shared" si="12"/>
        <v>入力必要</v>
      </c>
      <c r="BH32" s="551" t="str">
        <f t="shared" si="13"/>
        <v>入力済</v>
      </c>
      <c r="BI32" s="551" t="str">
        <f t="shared" si="14"/>
        <v>常陸太田市</v>
      </c>
    </row>
    <row r="33" spans="1:61" s="553" customFormat="1" ht="109.95" customHeight="1" thickBot="1">
      <c r="A33" s="456">
        <v>22</v>
      </c>
      <c r="B33" s="724" t="str">
        <f>IF(基本情報入力シート!B61="","",基本情報入力シート!B61)</f>
        <v>0811111120</v>
      </c>
      <c r="C33" s="725"/>
      <c r="D33" s="725"/>
      <c r="E33" s="725"/>
      <c r="F33" s="726"/>
      <c r="G33" s="457" t="str">
        <f>IF(基本情報入力シート!L61="", "", 基本情報入力シート!L61)</f>
        <v>常陸太田市</v>
      </c>
      <c r="H33" s="457" t="str">
        <f>IF(基本情報入力シート!Q61="", "", 基本情報入力シート!Q61)</f>
        <v>茨城県</v>
      </c>
      <c r="I33" s="457" t="str">
        <f>IF(基本情報入力シート!V61="", "", 基本情報入力シート!V61)</f>
        <v>常陸太田市</v>
      </c>
      <c r="J33" s="457" t="str">
        <f>IF(基本情報入力シート!W61="", "", 基本情報入力シート!W61)</f>
        <v>デイサービスセンター　○○</v>
      </c>
      <c r="K33" s="457" t="str">
        <f>IF(基本情報入力シート!Z61="", "", 基本情報入力シート!Z61)</f>
        <v>介護予防認知症対応型通所介護</v>
      </c>
      <c r="L33" s="101">
        <f>IF(基本情報入力シート!AF61=0, "",基本情報入力シート!AF61)</f>
        <v>826000</v>
      </c>
      <c r="M33" s="142">
        <f>IF(AND(基本情報入力シート!AG61="",基本情報入力シート!AG61=""), "", 基本情報入力シート!AG61)</f>
        <v>10</v>
      </c>
      <c r="N33" s="136" t="s">
        <v>2600</v>
      </c>
      <c r="O33" s="155">
        <f>IFERROR(VLOOKUP(K33,【参考】数式用!$A$2:$M$57,MATCH(N33,【参考】数式用!$G$3:$M$3,0)+6,0),"")</f>
        <v>0.22900000000000001</v>
      </c>
      <c r="P33" s="458" t="s">
        <v>180</v>
      </c>
      <c r="Q33" s="141">
        <v>8</v>
      </c>
      <c r="R33" s="459" t="s">
        <v>271</v>
      </c>
      <c r="S33" s="141">
        <v>6</v>
      </c>
      <c r="T33" s="459" t="s">
        <v>272</v>
      </c>
      <c r="U33" s="141">
        <v>9</v>
      </c>
      <c r="V33" s="459" t="s">
        <v>271</v>
      </c>
      <c r="W33" s="141">
        <v>3</v>
      </c>
      <c r="X33" s="459" t="s">
        <v>273</v>
      </c>
      <c r="Y33" s="459" t="s">
        <v>274</v>
      </c>
      <c r="Z33" s="459">
        <f t="shared" si="15"/>
        <v>10</v>
      </c>
      <c r="AA33" s="460" t="s">
        <v>275</v>
      </c>
      <c r="AB33" s="461">
        <f t="shared" si="16"/>
        <v>18915400</v>
      </c>
      <c r="AC33" s="462">
        <f>IFERROR(ROUNDDOWN(ROUNDDOWN(ROUND(L33*VLOOKUP(K33,【参考】数式用!$A$2:$M$57,MATCH("処遇改善加算Ⅳ",【参考】数式用!$G$3:$M$3,0)+6,0),0)*M33,0)*Z33*0.5,0), "")</f>
        <v>6484100</v>
      </c>
      <c r="AD33" s="156" t="s">
        <v>2596</v>
      </c>
      <c r="AE33" s="157" t="s">
        <v>2596</v>
      </c>
      <c r="AF33" s="157" t="s">
        <v>2596</v>
      </c>
      <c r="AG33" s="158">
        <v>0</v>
      </c>
      <c r="AH33" s="159" t="s">
        <v>430</v>
      </c>
      <c r="AI33" s="160"/>
      <c r="AJ33" s="161" t="s">
        <v>405</v>
      </c>
      <c r="AK33" s="545" t="str">
        <f t="shared" si="17"/>
        <v/>
      </c>
      <c r="AL33" s="546" t="str">
        <f t="shared" si="0"/>
        <v/>
      </c>
      <c r="AM33" s="547"/>
      <c r="AN33" s="548" t="str">
        <f>IFERROR(VLOOKUP(K33,【参考】数式用!$A$2:$N$57,14,FALSE),"")</f>
        <v>加算対象</v>
      </c>
      <c r="AO33" s="548" t="str">
        <f t="shared" si="1"/>
        <v>N列に色付け</v>
      </c>
      <c r="AP33" s="549" t="str">
        <f t="shared" si="18"/>
        <v>入力済</v>
      </c>
      <c r="AQ33" s="549" t="str">
        <f t="shared" si="19"/>
        <v>キャリアパス要件Ⅰ・Ⅱ_加算対象</v>
      </c>
      <c r="AR33" s="550" t="str">
        <f t="shared" si="20"/>
        <v>入力済</v>
      </c>
      <c r="AS33" s="548" t="str">
        <f t="shared" si="2"/>
        <v>AF列に色付け</v>
      </c>
      <c r="AT33" s="550" t="str">
        <f t="shared" si="3"/>
        <v>入力済</v>
      </c>
      <c r="AU33" s="550" t="str">
        <f t="shared" si="4"/>
        <v>対象</v>
      </c>
      <c r="AV33" s="550">
        <f t="shared" si="5"/>
        <v>1</v>
      </c>
      <c r="AW33" s="548" t="str">
        <f t="shared" si="6"/>
        <v>AH列に色付け</v>
      </c>
      <c r="AX33" s="548" t="str">
        <f t="shared" si="7"/>
        <v>入力済</v>
      </c>
      <c r="AY33" s="550" t="str">
        <f>IFERROR(VLOOKUP(K33,【参考】数式用!$AR$3:$AS$49, 2, FALSE), "")</f>
        <v>介護予防認知症対応型通所介護Ⅴ</v>
      </c>
      <c r="AZ33" s="548" t="str">
        <f t="shared" si="8"/>
        <v/>
      </c>
      <c r="BA33" s="551" t="str">
        <f t="shared" si="21"/>
        <v>入力済</v>
      </c>
      <c r="BB33" s="550" t="str">
        <f>IFERROR(VLOOKUP(K33,【参考】数式用!$AX$3:$AY$56, 2, FALSE), "")</f>
        <v>介護予防認知症対応型通所介護R8</v>
      </c>
      <c r="BC33" s="548" t="str">
        <f t="shared" si="9"/>
        <v>AJ列に色付け</v>
      </c>
      <c r="BD33" s="551" t="str">
        <f t="shared" si="22"/>
        <v>入力済</v>
      </c>
      <c r="BE33" s="551" t="str">
        <f t="shared" si="10"/>
        <v/>
      </c>
      <c r="BF33" s="551" t="str">
        <f t="shared" si="11"/>
        <v/>
      </c>
      <c r="BG33" s="551" t="str">
        <f t="shared" si="12"/>
        <v>入力必要</v>
      </c>
      <c r="BH33" s="551" t="str">
        <f t="shared" si="13"/>
        <v>入力済</v>
      </c>
      <c r="BI33" s="551" t="str">
        <f t="shared" si="14"/>
        <v>常陸太田市</v>
      </c>
    </row>
    <row r="34" spans="1:61" s="553" customFormat="1" ht="109.95" customHeight="1" thickBot="1">
      <c r="A34" s="456">
        <v>23</v>
      </c>
      <c r="B34" s="724" t="str">
        <f>IF(基本情報入力シート!B62="","",基本情報入力シート!B62)</f>
        <v>0811111121</v>
      </c>
      <c r="C34" s="725"/>
      <c r="D34" s="725"/>
      <c r="E34" s="725"/>
      <c r="F34" s="726"/>
      <c r="G34" s="457" t="str">
        <f>IF(基本情報入力シート!L62="", "", 基本情報入力シート!L62)</f>
        <v>高萩市</v>
      </c>
      <c r="H34" s="457" t="str">
        <f>IF(基本情報入力シート!Q62="", "", 基本情報入力シート!Q62)</f>
        <v>茨城県</v>
      </c>
      <c r="I34" s="457" t="str">
        <f>IF(基本情報入力シート!V62="", "", 基本情報入力シート!V62)</f>
        <v>高萩市</v>
      </c>
      <c r="J34" s="457" t="str">
        <f>IF(基本情報入力シート!W62="", "", 基本情報入力シート!W62)</f>
        <v>小規模多機能型居宅介護事業所　○○</v>
      </c>
      <c r="K34" s="457" t="str">
        <f>IF(基本情報入力シート!Z62="", "", 基本情報入力シート!Z62)</f>
        <v>小規模多機能型居宅介護</v>
      </c>
      <c r="L34" s="101">
        <f>IF(基本情報入力シート!AF62=0, "",基本情報入力シート!AF62)</f>
        <v>854000</v>
      </c>
      <c r="M34" s="142">
        <f>IF(AND(基本情報入力シート!AG62="",基本情報入力シート!AG62=""), "", 基本情報入力シート!AG62)</f>
        <v>10</v>
      </c>
      <c r="N34" s="136" t="s">
        <v>2601</v>
      </c>
      <c r="O34" s="155">
        <f>IFERROR(VLOOKUP(K34,【参考】数式用!$A$2:$M$57,MATCH(N34,【参考】数式用!$G$3:$M$3,0)+6,0),"")</f>
        <v>0.16800000000000001</v>
      </c>
      <c r="P34" s="458" t="s">
        <v>180</v>
      </c>
      <c r="Q34" s="141">
        <v>8</v>
      </c>
      <c r="R34" s="459" t="s">
        <v>271</v>
      </c>
      <c r="S34" s="141">
        <v>6</v>
      </c>
      <c r="T34" s="459" t="s">
        <v>272</v>
      </c>
      <c r="U34" s="141">
        <v>9</v>
      </c>
      <c r="V34" s="459" t="s">
        <v>271</v>
      </c>
      <c r="W34" s="141">
        <v>3</v>
      </c>
      <c r="X34" s="459" t="s">
        <v>182</v>
      </c>
      <c r="Y34" s="459" t="s">
        <v>274</v>
      </c>
      <c r="Z34" s="459">
        <f t="shared" si="15"/>
        <v>10</v>
      </c>
      <c r="AA34" s="460" t="s">
        <v>275</v>
      </c>
      <c r="AB34" s="461">
        <f t="shared" si="16"/>
        <v>14347200</v>
      </c>
      <c r="AC34" s="462">
        <f>IFERROR(ROUNDDOWN(ROUNDDOWN(ROUND(L34*VLOOKUP(K34,【参考】数式用!$A$2:$M$57,MATCH("処遇改善加算Ⅳ",【参考】数式用!$G$3:$M$3,0)+6,0),0)*M34,0)*Z34*0.5,0), "")</f>
        <v>5465600</v>
      </c>
      <c r="AD34" s="156" t="s">
        <v>2596</v>
      </c>
      <c r="AE34" s="157" t="s">
        <v>2596</v>
      </c>
      <c r="AF34" s="157" t="s">
        <v>2596</v>
      </c>
      <c r="AG34" s="158">
        <v>0</v>
      </c>
      <c r="AH34" s="159" t="s">
        <v>569</v>
      </c>
      <c r="AI34" s="160"/>
      <c r="AJ34" s="161"/>
      <c r="AK34" s="545" t="str">
        <f t="shared" si="17"/>
        <v/>
      </c>
      <c r="AL34" s="546" t="str">
        <f t="shared" si="0"/>
        <v/>
      </c>
      <c r="AM34" s="547"/>
      <c r="AN34" s="548" t="str">
        <f>IFERROR(VLOOKUP(K34,【参考】数式用!$A$2:$N$57,14,FALSE),"")</f>
        <v>加算対象</v>
      </c>
      <c r="AO34" s="548" t="str">
        <f t="shared" si="1"/>
        <v>N列に色付け</v>
      </c>
      <c r="AP34" s="549" t="str">
        <f t="shared" si="18"/>
        <v>入力済</v>
      </c>
      <c r="AQ34" s="549" t="str">
        <f t="shared" si="19"/>
        <v>キャリアパス要件Ⅰ・Ⅱ_加算対象</v>
      </c>
      <c r="AR34" s="550" t="str">
        <f t="shared" si="20"/>
        <v>入力済</v>
      </c>
      <c r="AS34" s="548" t="str">
        <f t="shared" si="2"/>
        <v>AF列に色付け</v>
      </c>
      <c r="AT34" s="550" t="str">
        <f t="shared" si="3"/>
        <v>入力済</v>
      </c>
      <c r="AU34" s="550" t="str">
        <f t="shared" si="4"/>
        <v>対象</v>
      </c>
      <c r="AV34" s="550">
        <f t="shared" si="5"/>
        <v>1</v>
      </c>
      <c r="AW34" s="548" t="str">
        <f t="shared" si="6"/>
        <v>AH列に色付け</v>
      </c>
      <c r="AX34" s="548" t="str">
        <f t="shared" si="7"/>
        <v>入力済</v>
      </c>
      <c r="AY34" s="550" t="str">
        <f>IFERROR(VLOOKUP(K34,【参考】数式用!$AR$3:$AS$49, 2, FALSE), "")</f>
        <v>小規模多機能型居宅介護Ⅴ</v>
      </c>
      <c r="AZ34" s="548" t="str">
        <f t="shared" si="8"/>
        <v/>
      </c>
      <c r="BA34" s="551" t="str">
        <f t="shared" si="21"/>
        <v>入力済</v>
      </c>
      <c r="BB34" s="550" t="str">
        <f>IFERROR(VLOOKUP(K34,【参考】数式用!$AX$3:$AY$56, 2, FALSE), "")</f>
        <v>小規模多機能型居宅介護R8</v>
      </c>
      <c r="BC34" s="548" t="str">
        <f t="shared" si="9"/>
        <v/>
      </c>
      <c r="BD34" s="551" t="str">
        <f t="shared" si="22"/>
        <v>入力済</v>
      </c>
      <c r="BE34" s="551" t="str">
        <f t="shared" si="10"/>
        <v/>
      </c>
      <c r="BF34" s="551" t="str">
        <f t="shared" si="11"/>
        <v/>
      </c>
      <c r="BG34" s="551" t="str">
        <f t="shared" si="12"/>
        <v/>
      </c>
      <c r="BH34" s="551" t="str">
        <f t="shared" si="13"/>
        <v/>
      </c>
      <c r="BI34" s="551" t="str">
        <f t="shared" si="14"/>
        <v>高萩市</v>
      </c>
    </row>
    <row r="35" spans="1:61" s="553" customFormat="1" ht="109.95" customHeight="1" thickBot="1">
      <c r="A35" s="456">
        <v>24</v>
      </c>
      <c r="B35" s="724" t="str">
        <f>IF(基本情報入力シート!B63="","",基本情報入力シート!B63)</f>
        <v>0811111121</v>
      </c>
      <c r="C35" s="725"/>
      <c r="D35" s="725"/>
      <c r="E35" s="725"/>
      <c r="F35" s="726"/>
      <c r="G35" s="457" t="str">
        <f>IF(基本情報入力シート!L63="", "", 基本情報入力シート!L63)</f>
        <v>高萩市</v>
      </c>
      <c r="H35" s="457" t="str">
        <f>IF(基本情報入力シート!Q63="", "", 基本情報入力シート!Q63)</f>
        <v>茨城県</v>
      </c>
      <c r="I35" s="457" t="str">
        <f>IF(基本情報入力シート!V63="", "", 基本情報入力シート!V63)</f>
        <v>高萩市</v>
      </c>
      <c r="J35" s="457" t="str">
        <f>IF(基本情報入力シート!W63="", "", 基本情報入力シート!W63)</f>
        <v>小規模多機能型居宅介護事業所　○○</v>
      </c>
      <c r="K35" s="457" t="str">
        <f>IF(基本情報入力シート!Z63="", "", 基本情報入力シート!Z63)</f>
        <v>小規模多機能型居宅介護（短期利用型）</v>
      </c>
      <c r="L35" s="101">
        <f>IF(基本情報入力シート!AF63=0, "",基本情報入力シート!AF63)</f>
        <v>854000</v>
      </c>
      <c r="M35" s="142">
        <f>IF(AND(基本情報入力シート!AG63="",基本情報入力シート!AG63=""), "", 基本情報入力シート!AG63)</f>
        <v>10</v>
      </c>
      <c r="N35" s="136" t="s">
        <v>2601</v>
      </c>
      <c r="O35" s="155">
        <f>IFERROR(VLOOKUP(K35,【参考】数式用!$A$2:$M$57,MATCH(N35,【参考】数式用!$G$3:$M$3,0)+6,0),"")</f>
        <v>0.16800000000000001</v>
      </c>
      <c r="P35" s="458" t="s">
        <v>180</v>
      </c>
      <c r="Q35" s="141">
        <v>8</v>
      </c>
      <c r="R35" s="459" t="s">
        <v>271</v>
      </c>
      <c r="S35" s="141">
        <v>6</v>
      </c>
      <c r="T35" s="459" t="s">
        <v>272</v>
      </c>
      <c r="U35" s="141">
        <v>9</v>
      </c>
      <c r="V35" s="459" t="s">
        <v>271</v>
      </c>
      <c r="W35" s="141">
        <v>3</v>
      </c>
      <c r="X35" s="459" t="s">
        <v>182</v>
      </c>
      <c r="Y35" s="459" t="s">
        <v>274</v>
      </c>
      <c r="Z35" s="459">
        <f t="shared" si="15"/>
        <v>10</v>
      </c>
      <c r="AA35" s="460" t="s">
        <v>275</v>
      </c>
      <c r="AB35" s="461">
        <f t="shared" si="16"/>
        <v>14347200</v>
      </c>
      <c r="AC35" s="462">
        <f>IFERROR(ROUNDDOWN(ROUNDDOWN(ROUND(L35*VLOOKUP(K35,【参考】数式用!$A$2:$M$57,MATCH("処遇改善加算Ⅳ",【参考】数式用!$G$3:$M$3,0)+6,0),0)*M35,0)*Z35*0.5,0), "")</f>
        <v>5465600</v>
      </c>
      <c r="AD35" s="156" t="s">
        <v>2596</v>
      </c>
      <c r="AE35" s="157" t="s">
        <v>2596</v>
      </c>
      <c r="AF35" s="157" t="s">
        <v>2596</v>
      </c>
      <c r="AG35" s="158">
        <v>0</v>
      </c>
      <c r="AH35" s="159" t="s">
        <v>569</v>
      </c>
      <c r="AI35" s="160"/>
      <c r="AJ35" s="161"/>
      <c r="AK35" s="545" t="str">
        <f t="shared" si="17"/>
        <v/>
      </c>
      <c r="AL35" s="546" t="str">
        <f t="shared" si="0"/>
        <v/>
      </c>
      <c r="AM35" s="547"/>
      <c r="AN35" s="548" t="str">
        <f>IFERROR(VLOOKUP(K35,【参考】数式用!$A$2:$N$57,14,FALSE),"")</f>
        <v>加算対象</v>
      </c>
      <c r="AO35" s="548" t="str">
        <f t="shared" si="1"/>
        <v>N列に色付け</v>
      </c>
      <c r="AP35" s="549" t="str">
        <f t="shared" si="18"/>
        <v>入力済</v>
      </c>
      <c r="AQ35" s="549" t="str">
        <f t="shared" si="19"/>
        <v>キャリアパス要件Ⅰ・Ⅱ_加算対象</v>
      </c>
      <c r="AR35" s="550" t="str">
        <f t="shared" si="20"/>
        <v>入力済</v>
      </c>
      <c r="AS35" s="548" t="str">
        <f t="shared" si="2"/>
        <v>AF列に色付け</v>
      </c>
      <c r="AT35" s="550" t="str">
        <f t="shared" si="3"/>
        <v>入力済</v>
      </c>
      <c r="AU35" s="550" t="str">
        <f t="shared" si="4"/>
        <v>対象</v>
      </c>
      <c r="AV35" s="550">
        <f t="shared" si="5"/>
        <v>1</v>
      </c>
      <c r="AW35" s="548" t="str">
        <f t="shared" si="6"/>
        <v>AH列に色付け</v>
      </c>
      <c r="AX35" s="548" t="str">
        <f t="shared" si="7"/>
        <v>入力済</v>
      </c>
      <c r="AY35" s="550" t="str">
        <f>IFERROR(VLOOKUP(K35,【参考】数式用!$AR$3:$AS$49, 2, FALSE), "")</f>
        <v>小規模多機能型居宅介護_短期利用型_Ⅴ</v>
      </c>
      <c r="AZ35" s="548" t="str">
        <f t="shared" si="8"/>
        <v/>
      </c>
      <c r="BA35" s="551" t="str">
        <f t="shared" si="21"/>
        <v>入力済</v>
      </c>
      <c r="BB35" s="550" t="str">
        <f>IFERROR(VLOOKUP(K35,【参考】数式用!$AX$3:$AY$56, 2, FALSE), "")</f>
        <v>小規模多機能型居宅介護_短期利用型_R8</v>
      </c>
      <c r="BC35" s="548" t="str">
        <f t="shared" si="9"/>
        <v/>
      </c>
      <c r="BD35" s="551" t="str">
        <f t="shared" si="22"/>
        <v>入力済</v>
      </c>
      <c r="BE35" s="551" t="str">
        <f t="shared" si="10"/>
        <v/>
      </c>
      <c r="BF35" s="551" t="str">
        <f t="shared" si="11"/>
        <v/>
      </c>
      <c r="BG35" s="551" t="str">
        <f t="shared" si="12"/>
        <v/>
      </c>
      <c r="BH35" s="551" t="str">
        <f t="shared" si="13"/>
        <v/>
      </c>
      <c r="BI35" s="551" t="str">
        <f t="shared" si="14"/>
        <v>高萩市</v>
      </c>
    </row>
    <row r="36" spans="1:61" s="553" customFormat="1" ht="109.95" customHeight="1" thickBot="1">
      <c r="A36" s="456">
        <v>25</v>
      </c>
      <c r="B36" s="724" t="str">
        <f>IF(基本情報入力シート!B64="","",基本情報入力シート!B64)</f>
        <v>0811111121</v>
      </c>
      <c r="C36" s="725"/>
      <c r="D36" s="725"/>
      <c r="E36" s="725"/>
      <c r="F36" s="726"/>
      <c r="G36" s="457" t="str">
        <f>IF(基本情報入力シート!L64="", "", 基本情報入力シート!L64)</f>
        <v>高萩市</v>
      </c>
      <c r="H36" s="457" t="str">
        <f>IF(基本情報入力シート!Q64="", "", 基本情報入力シート!Q64)</f>
        <v>茨城県</v>
      </c>
      <c r="I36" s="457" t="str">
        <f>IF(基本情報入力シート!V64="", "", 基本情報入力シート!V64)</f>
        <v>高萩市</v>
      </c>
      <c r="J36" s="457" t="str">
        <f>IF(基本情報入力シート!W64="", "", 基本情報入力シート!W64)</f>
        <v>小規模多機能型居宅介護事業所　○○</v>
      </c>
      <c r="K36" s="457" t="str">
        <f>IF(基本情報入力シート!Z64="", "", 基本情報入力シート!Z64)</f>
        <v>介護予防小規模多機能型居宅介護</v>
      </c>
      <c r="L36" s="101">
        <f>IF(基本情報入力シート!AF64=0, "",基本情報入力シート!AF64)</f>
        <v>854000</v>
      </c>
      <c r="M36" s="142">
        <f>IF(AND(基本情報入力シート!AG64="",基本情報入力シート!AG64=""), "", 基本情報入力シート!AG64)</f>
        <v>10</v>
      </c>
      <c r="N36" s="136" t="s">
        <v>2601</v>
      </c>
      <c r="O36" s="155">
        <f>IFERROR(VLOOKUP(K36,【参考】数式用!$A$2:$M$57,MATCH(N36,【参考】数式用!$G$3:$M$3,0)+6,0),"")</f>
        <v>0.16800000000000001</v>
      </c>
      <c r="P36" s="458" t="s">
        <v>180</v>
      </c>
      <c r="Q36" s="141">
        <v>8</v>
      </c>
      <c r="R36" s="459" t="s">
        <v>271</v>
      </c>
      <c r="S36" s="141">
        <v>6</v>
      </c>
      <c r="T36" s="459" t="s">
        <v>272</v>
      </c>
      <c r="U36" s="141">
        <v>9</v>
      </c>
      <c r="V36" s="459" t="s">
        <v>271</v>
      </c>
      <c r="W36" s="141">
        <v>3</v>
      </c>
      <c r="X36" s="459" t="s">
        <v>273</v>
      </c>
      <c r="Y36" s="459" t="s">
        <v>274</v>
      </c>
      <c r="Z36" s="459">
        <f t="shared" si="15"/>
        <v>10</v>
      </c>
      <c r="AA36" s="460" t="s">
        <v>275</v>
      </c>
      <c r="AB36" s="461">
        <f t="shared" si="16"/>
        <v>14347200</v>
      </c>
      <c r="AC36" s="462">
        <f>IFERROR(ROUNDDOWN(ROUNDDOWN(ROUND(L36*VLOOKUP(K36,【参考】数式用!$A$2:$M$57,MATCH("処遇改善加算Ⅳ",【参考】数式用!$G$3:$M$3,0)+6,0),0)*M36,0)*Z36*0.5,0), "")</f>
        <v>5465600</v>
      </c>
      <c r="AD36" s="156" t="s">
        <v>2596</v>
      </c>
      <c r="AE36" s="157" t="s">
        <v>2596</v>
      </c>
      <c r="AF36" s="157" t="s">
        <v>2596</v>
      </c>
      <c r="AG36" s="158">
        <v>0</v>
      </c>
      <c r="AH36" s="159" t="s">
        <v>569</v>
      </c>
      <c r="AI36" s="160"/>
      <c r="AJ36" s="161"/>
      <c r="AK36" s="545" t="str">
        <f t="shared" si="17"/>
        <v/>
      </c>
      <c r="AL36" s="546" t="str">
        <f t="shared" si="0"/>
        <v/>
      </c>
      <c r="AM36" s="547"/>
      <c r="AN36" s="548" t="str">
        <f>IFERROR(VLOOKUP(K36,【参考】数式用!$A$2:$N$57,14,FALSE),"")</f>
        <v>加算対象</v>
      </c>
      <c r="AO36" s="548" t="str">
        <f t="shared" si="1"/>
        <v>N列に色付け</v>
      </c>
      <c r="AP36" s="549" t="str">
        <f t="shared" si="18"/>
        <v>入力済</v>
      </c>
      <c r="AQ36" s="549" t="str">
        <f t="shared" si="19"/>
        <v>キャリアパス要件Ⅰ・Ⅱ_加算対象</v>
      </c>
      <c r="AR36" s="550" t="str">
        <f t="shared" si="20"/>
        <v>入力済</v>
      </c>
      <c r="AS36" s="548" t="str">
        <f t="shared" si="2"/>
        <v>AF列に色付け</v>
      </c>
      <c r="AT36" s="550" t="str">
        <f t="shared" si="3"/>
        <v>入力済</v>
      </c>
      <c r="AU36" s="550" t="str">
        <f t="shared" si="4"/>
        <v>対象</v>
      </c>
      <c r="AV36" s="550">
        <f t="shared" si="5"/>
        <v>1</v>
      </c>
      <c r="AW36" s="548" t="str">
        <f t="shared" si="6"/>
        <v>AH列に色付け</v>
      </c>
      <c r="AX36" s="548" t="str">
        <f t="shared" si="7"/>
        <v>入力済</v>
      </c>
      <c r="AY36" s="550" t="str">
        <f>IFERROR(VLOOKUP(K36,【参考】数式用!$AR$3:$AS$49, 2, FALSE), "")</f>
        <v>介護予防小規模多機能型居宅介護Ⅴ</v>
      </c>
      <c r="AZ36" s="548" t="str">
        <f t="shared" si="8"/>
        <v/>
      </c>
      <c r="BA36" s="551" t="str">
        <f t="shared" si="21"/>
        <v>入力済</v>
      </c>
      <c r="BB36" s="550" t="str">
        <f>IFERROR(VLOOKUP(K36,【参考】数式用!$AX$3:$AY$56, 2, FALSE), "")</f>
        <v>介護予防小規模多機能型居宅介護R8</v>
      </c>
      <c r="BC36" s="548" t="str">
        <f t="shared" si="9"/>
        <v/>
      </c>
      <c r="BD36" s="551" t="str">
        <f t="shared" si="22"/>
        <v>入力済</v>
      </c>
      <c r="BE36" s="551" t="str">
        <f t="shared" si="10"/>
        <v/>
      </c>
      <c r="BF36" s="551" t="str">
        <f t="shared" si="11"/>
        <v/>
      </c>
      <c r="BG36" s="551" t="str">
        <f t="shared" si="12"/>
        <v/>
      </c>
      <c r="BH36" s="551" t="str">
        <f t="shared" si="13"/>
        <v/>
      </c>
      <c r="BI36" s="551" t="str">
        <f t="shared" si="14"/>
        <v>高萩市</v>
      </c>
    </row>
    <row r="37" spans="1:61" s="553" customFormat="1" ht="109.95" customHeight="1" thickBot="1">
      <c r="A37" s="456">
        <v>26</v>
      </c>
      <c r="B37" s="724" t="str">
        <f>IF(基本情報入力シート!B65="","",基本情報入力シート!B65)</f>
        <v>0811111121</v>
      </c>
      <c r="C37" s="725"/>
      <c r="D37" s="725"/>
      <c r="E37" s="725"/>
      <c r="F37" s="726"/>
      <c r="G37" s="457" t="str">
        <f>IF(基本情報入力シート!L65="", "", 基本情報入力シート!L65)</f>
        <v>高萩市</v>
      </c>
      <c r="H37" s="457" t="str">
        <f>IF(基本情報入力シート!Q65="", "", 基本情報入力シート!Q65)</f>
        <v>茨城県</v>
      </c>
      <c r="I37" s="457" t="str">
        <f>IF(基本情報入力シート!V65="", "", 基本情報入力シート!V65)</f>
        <v>高萩市</v>
      </c>
      <c r="J37" s="457" t="str">
        <f>IF(基本情報入力シート!W65="", "", 基本情報入力シート!W65)</f>
        <v>小規模多機能型居宅介護事業所　○○</v>
      </c>
      <c r="K37" s="457" t="str">
        <f>IF(基本情報入力シート!Z65="", "", 基本情報入力シート!Z65)</f>
        <v>介護予防小規模多機能型居宅介護（短期利用型）</v>
      </c>
      <c r="L37" s="101">
        <f>IF(基本情報入力シート!AF65=0, "",基本情報入力シート!AF65)</f>
        <v>854000</v>
      </c>
      <c r="M37" s="142">
        <f>IF(AND(基本情報入力シート!AG65="",基本情報入力シート!AG65=""), "", 基本情報入力シート!AG65)</f>
        <v>10</v>
      </c>
      <c r="N37" s="136" t="s">
        <v>2601</v>
      </c>
      <c r="O37" s="155">
        <f>IFERROR(VLOOKUP(K37,【参考】数式用!$A$2:$M$57,MATCH(N37,【参考】数式用!$G$3:$M$3,0)+6,0),"")</f>
        <v>0.16800000000000001</v>
      </c>
      <c r="P37" s="458" t="s">
        <v>180</v>
      </c>
      <c r="Q37" s="141">
        <v>8</v>
      </c>
      <c r="R37" s="459" t="s">
        <v>271</v>
      </c>
      <c r="S37" s="141">
        <v>6</v>
      </c>
      <c r="T37" s="459" t="s">
        <v>272</v>
      </c>
      <c r="U37" s="141">
        <v>9</v>
      </c>
      <c r="V37" s="459" t="s">
        <v>271</v>
      </c>
      <c r="W37" s="141">
        <v>3</v>
      </c>
      <c r="X37" s="459" t="s">
        <v>273</v>
      </c>
      <c r="Y37" s="459" t="s">
        <v>274</v>
      </c>
      <c r="Z37" s="459">
        <f t="shared" si="15"/>
        <v>10</v>
      </c>
      <c r="AA37" s="460" t="s">
        <v>275</v>
      </c>
      <c r="AB37" s="461">
        <f t="shared" si="16"/>
        <v>14347200</v>
      </c>
      <c r="AC37" s="462">
        <f>IFERROR(ROUNDDOWN(ROUNDDOWN(ROUND(L37*VLOOKUP(K37,【参考】数式用!$A$2:$M$57,MATCH("処遇改善加算Ⅳ",【参考】数式用!$G$3:$M$3,0)+6,0),0)*M37,0)*Z37*0.5,0), "")</f>
        <v>5465600</v>
      </c>
      <c r="AD37" s="156" t="s">
        <v>2596</v>
      </c>
      <c r="AE37" s="157" t="s">
        <v>2596</v>
      </c>
      <c r="AF37" s="157" t="s">
        <v>2596</v>
      </c>
      <c r="AG37" s="158">
        <v>0</v>
      </c>
      <c r="AH37" s="159" t="s">
        <v>569</v>
      </c>
      <c r="AI37" s="160"/>
      <c r="AJ37" s="161"/>
      <c r="AK37" s="545" t="str">
        <f t="shared" si="17"/>
        <v/>
      </c>
      <c r="AL37" s="546" t="str">
        <f t="shared" si="0"/>
        <v/>
      </c>
      <c r="AM37" s="547"/>
      <c r="AN37" s="548" t="str">
        <f>IFERROR(VLOOKUP(K37,【参考】数式用!$A$2:$N$57,14,FALSE),"")</f>
        <v>加算対象</v>
      </c>
      <c r="AO37" s="548" t="str">
        <f t="shared" si="1"/>
        <v>N列に色付け</v>
      </c>
      <c r="AP37" s="549" t="str">
        <f t="shared" si="18"/>
        <v>入力済</v>
      </c>
      <c r="AQ37" s="549" t="str">
        <f t="shared" si="19"/>
        <v>キャリアパス要件Ⅰ・Ⅱ_加算対象</v>
      </c>
      <c r="AR37" s="550" t="str">
        <f t="shared" si="20"/>
        <v>入力済</v>
      </c>
      <c r="AS37" s="548" t="str">
        <f t="shared" si="2"/>
        <v>AF列に色付け</v>
      </c>
      <c r="AT37" s="550" t="str">
        <f t="shared" si="3"/>
        <v>入力済</v>
      </c>
      <c r="AU37" s="550" t="str">
        <f t="shared" si="4"/>
        <v>対象</v>
      </c>
      <c r="AV37" s="550">
        <f t="shared" si="5"/>
        <v>1</v>
      </c>
      <c r="AW37" s="548" t="str">
        <f t="shared" si="6"/>
        <v>AH列に色付け</v>
      </c>
      <c r="AX37" s="548" t="str">
        <f t="shared" si="7"/>
        <v>入力済</v>
      </c>
      <c r="AY37" s="550" t="str">
        <f>IFERROR(VLOOKUP(K37,【参考】数式用!$AR$3:$AS$49, 2, FALSE), "")</f>
        <v>介護予防小規模多機能型居宅介護_短期利用型_Ⅴ</v>
      </c>
      <c r="AZ37" s="548" t="str">
        <f t="shared" si="8"/>
        <v/>
      </c>
      <c r="BA37" s="551" t="str">
        <f t="shared" si="21"/>
        <v>入力済</v>
      </c>
      <c r="BB37" s="550" t="str">
        <f>IFERROR(VLOOKUP(K37,【参考】数式用!$AX$3:$AY$56, 2, FALSE), "")</f>
        <v>介護予防小規模多機能型居宅介護_短期利用型_R8</v>
      </c>
      <c r="BC37" s="548" t="str">
        <f t="shared" si="9"/>
        <v/>
      </c>
      <c r="BD37" s="551" t="str">
        <f t="shared" si="22"/>
        <v>入力済</v>
      </c>
      <c r="BE37" s="551" t="str">
        <f t="shared" si="10"/>
        <v/>
      </c>
      <c r="BF37" s="551" t="str">
        <f t="shared" si="11"/>
        <v/>
      </c>
      <c r="BG37" s="551" t="str">
        <f t="shared" si="12"/>
        <v/>
      </c>
      <c r="BH37" s="551" t="str">
        <f t="shared" si="13"/>
        <v/>
      </c>
      <c r="BI37" s="551" t="str">
        <f t="shared" si="14"/>
        <v>高萩市</v>
      </c>
    </row>
    <row r="38" spans="1:61" s="553" customFormat="1" ht="109.95" customHeight="1" thickBot="1">
      <c r="A38" s="456">
        <v>27</v>
      </c>
      <c r="B38" s="724" t="str">
        <f>IF(基本情報入力シート!B66="","",基本情報入力シート!B66)</f>
        <v>0811111122</v>
      </c>
      <c r="C38" s="725"/>
      <c r="D38" s="725"/>
      <c r="E38" s="725"/>
      <c r="F38" s="726"/>
      <c r="G38" s="457" t="str">
        <f>IF(基本情報入力シート!L66="", "", 基本情報入力シート!L66)</f>
        <v>北茨城市</v>
      </c>
      <c r="H38" s="457" t="str">
        <f>IF(基本情報入力シート!Q66="", "", 基本情報入力シート!Q66)</f>
        <v>茨城県</v>
      </c>
      <c r="I38" s="457" t="str">
        <f>IF(基本情報入力シート!V66="", "", 基本情報入力シート!V66)</f>
        <v>北茨城市</v>
      </c>
      <c r="J38" s="457" t="str">
        <f>IF(基本情報入力シート!W66="", "", 基本情報入力シート!W66)</f>
        <v>看護小規模多機能型居宅介護事業所　○○</v>
      </c>
      <c r="K38" s="457" t="str">
        <f>IF(基本情報入力シート!Z66="", "", 基本情報入力シート!Z66)</f>
        <v>看護小規模多機能型居宅介護</v>
      </c>
      <c r="L38" s="101">
        <f>IF(基本情報入力シート!AF66=0, "",基本情報入力シート!AF66)</f>
        <v>854000</v>
      </c>
      <c r="M38" s="142">
        <f>IF(AND(基本情報入力シート!AG66="",基本情報入力シート!AG66=""), "", 基本情報入力シート!AG66)</f>
        <v>10</v>
      </c>
      <c r="N38" s="136" t="s">
        <v>2601</v>
      </c>
      <c r="O38" s="155">
        <f>IFERROR(VLOOKUP(K38,【参考】数式用!$A$2:$M$57,MATCH(N38,【参考】数式用!$G$3:$M$3,0)+6,0),"")</f>
        <v>0.16500000000000001</v>
      </c>
      <c r="P38" s="458" t="s">
        <v>180</v>
      </c>
      <c r="Q38" s="141">
        <v>8</v>
      </c>
      <c r="R38" s="459" t="s">
        <v>271</v>
      </c>
      <c r="S38" s="141">
        <v>6</v>
      </c>
      <c r="T38" s="459" t="s">
        <v>272</v>
      </c>
      <c r="U38" s="141">
        <v>9</v>
      </c>
      <c r="V38" s="459" t="s">
        <v>271</v>
      </c>
      <c r="W38" s="141">
        <v>3</v>
      </c>
      <c r="X38" s="459" t="s">
        <v>273</v>
      </c>
      <c r="Y38" s="459" t="s">
        <v>274</v>
      </c>
      <c r="Z38" s="459">
        <f t="shared" si="15"/>
        <v>10</v>
      </c>
      <c r="AA38" s="460" t="s">
        <v>275</v>
      </c>
      <c r="AB38" s="461">
        <f t="shared" si="16"/>
        <v>14091000</v>
      </c>
      <c r="AC38" s="462">
        <f>IFERROR(ROUNDDOWN(ROUNDDOWN(ROUND(L38*VLOOKUP(K38,【参考】数式用!$A$2:$M$57,MATCH("処遇改善加算Ⅳ",【参考】数式用!$G$3:$M$3,0)+6,0),0)*M38,0)*Z38*0.5,0), "")</f>
        <v>5337500</v>
      </c>
      <c r="AD38" s="156" t="s">
        <v>2596</v>
      </c>
      <c r="AE38" s="157" t="s">
        <v>2596</v>
      </c>
      <c r="AF38" s="157" t="s">
        <v>2596</v>
      </c>
      <c r="AG38" s="158">
        <v>1</v>
      </c>
      <c r="AH38" s="159"/>
      <c r="AI38" s="160"/>
      <c r="AJ38" s="161"/>
      <c r="AK38" s="545" t="str">
        <f t="shared" si="17"/>
        <v/>
      </c>
      <c r="AL38" s="546" t="str">
        <f t="shared" si="0"/>
        <v/>
      </c>
      <c r="AM38" s="547"/>
      <c r="AN38" s="548" t="str">
        <f>IFERROR(VLOOKUP(K38,【参考】数式用!$A$2:$N$57,14,FALSE),"")</f>
        <v>加算対象</v>
      </c>
      <c r="AO38" s="548" t="str">
        <f t="shared" si="1"/>
        <v>N列に色付け</v>
      </c>
      <c r="AP38" s="549" t="str">
        <f t="shared" si="18"/>
        <v>入力済</v>
      </c>
      <c r="AQ38" s="549" t="str">
        <f t="shared" si="19"/>
        <v>キャリアパス要件Ⅰ・Ⅱ_加算対象</v>
      </c>
      <c r="AR38" s="550" t="str">
        <f t="shared" si="20"/>
        <v>入力済</v>
      </c>
      <c r="AS38" s="548" t="str">
        <f t="shared" si="2"/>
        <v>AF列に色付け</v>
      </c>
      <c r="AT38" s="550" t="str">
        <f t="shared" si="3"/>
        <v>入力済</v>
      </c>
      <c r="AU38" s="550" t="str">
        <f t="shared" si="4"/>
        <v>対象</v>
      </c>
      <c r="AV38" s="550">
        <f t="shared" si="5"/>
        <v>1</v>
      </c>
      <c r="AW38" s="548" t="str">
        <f t="shared" si="6"/>
        <v/>
      </c>
      <c r="AX38" s="548" t="str">
        <f t="shared" si="7"/>
        <v>入力済</v>
      </c>
      <c r="AY38" s="550" t="str">
        <f>IFERROR(VLOOKUP(K38,【参考】数式用!$AR$3:$AS$49, 2, FALSE), "")</f>
        <v>複合型サービス_看護小規模多機能型居宅介護_Ⅴ</v>
      </c>
      <c r="AZ38" s="548" t="str">
        <f t="shared" si="8"/>
        <v/>
      </c>
      <c r="BA38" s="551" t="str">
        <f t="shared" si="21"/>
        <v>入力済</v>
      </c>
      <c r="BB38" s="550" t="str">
        <f>IFERROR(VLOOKUP(K38,【参考】数式用!$AX$3:$AY$56, 2, FALSE), "")</f>
        <v>複合型サービス_看護小規模多機能型居宅介護_R8</v>
      </c>
      <c r="BC38" s="548" t="str">
        <f t="shared" si="9"/>
        <v/>
      </c>
      <c r="BD38" s="551" t="str">
        <f t="shared" si="22"/>
        <v>入力済</v>
      </c>
      <c r="BE38" s="551" t="str">
        <f t="shared" si="10"/>
        <v/>
      </c>
      <c r="BF38" s="551" t="str">
        <f t="shared" si="11"/>
        <v/>
      </c>
      <c r="BG38" s="551" t="str">
        <f t="shared" si="12"/>
        <v/>
      </c>
      <c r="BH38" s="551" t="str">
        <f t="shared" si="13"/>
        <v/>
      </c>
      <c r="BI38" s="551" t="str">
        <f t="shared" si="14"/>
        <v>北茨城市</v>
      </c>
    </row>
    <row r="39" spans="1:61" s="553" customFormat="1" ht="109.95" customHeight="1" thickBot="1">
      <c r="A39" s="456">
        <v>28</v>
      </c>
      <c r="B39" s="724" t="str">
        <f>IF(基本情報入力シート!B67="","",基本情報入力シート!B67)</f>
        <v>0811111122</v>
      </c>
      <c r="C39" s="725"/>
      <c r="D39" s="725"/>
      <c r="E39" s="725"/>
      <c r="F39" s="726"/>
      <c r="G39" s="457" t="str">
        <f>IF(基本情報入力シート!L67="", "", 基本情報入力シート!L67)</f>
        <v>北茨城市</v>
      </c>
      <c r="H39" s="457" t="str">
        <f>IF(基本情報入力シート!Q67="", "", 基本情報入力シート!Q67)</f>
        <v>茨城県</v>
      </c>
      <c r="I39" s="457" t="str">
        <f>IF(基本情報入力シート!V67="", "", 基本情報入力シート!V67)</f>
        <v>北茨城市</v>
      </c>
      <c r="J39" s="457" t="str">
        <f>IF(基本情報入力シート!W67="", "", 基本情報入力シート!W67)</f>
        <v>看護小規模多機能型居宅介護事業所　○○</v>
      </c>
      <c r="K39" s="457" t="str">
        <f>IF(基本情報入力シート!Z67="", "", 基本情報入力シート!Z67)</f>
        <v>看護小規模多機能型居宅介護（短期利用型）</v>
      </c>
      <c r="L39" s="101">
        <f>IF(基本情報入力シート!AF67=0, "",基本情報入力シート!AF67)</f>
        <v>854000</v>
      </c>
      <c r="M39" s="142">
        <f>IF(AND(基本情報入力シート!AG67="",基本情報入力シート!AG67=""), "", 基本情報入力シート!AG67)</f>
        <v>10</v>
      </c>
      <c r="N39" s="136" t="s">
        <v>2601</v>
      </c>
      <c r="O39" s="155">
        <f>IFERROR(VLOOKUP(K39,【参考】数式用!$A$2:$M$57,MATCH(N39,【参考】数式用!$G$3:$M$3,0)+6,0),"")</f>
        <v>0.16500000000000001</v>
      </c>
      <c r="P39" s="458" t="s">
        <v>180</v>
      </c>
      <c r="Q39" s="141">
        <v>8</v>
      </c>
      <c r="R39" s="459" t="s">
        <v>271</v>
      </c>
      <c r="S39" s="141">
        <v>6</v>
      </c>
      <c r="T39" s="459" t="s">
        <v>272</v>
      </c>
      <c r="U39" s="141">
        <v>9</v>
      </c>
      <c r="V39" s="459" t="s">
        <v>271</v>
      </c>
      <c r="W39" s="141">
        <v>3</v>
      </c>
      <c r="X39" s="459" t="s">
        <v>182</v>
      </c>
      <c r="Y39" s="459" t="s">
        <v>274</v>
      </c>
      <c r="Z39" s="459">
        <f t="shared" si="15"/>
        <v>10</v>
      </c>
      <c r="AA39" s="460" t="s">
        <v>275</v>
      </c>
      <c r="AB39" s="461">
        <f t="shared" si="16"/>
        <v>14091000</v>
      </c>
      <c r="AC39" s="462">
        <f>IFERROR(ROUNDDOWN(ROUNDDOWN(ROUND(L39*VLOOKUP(K39,【参考】数式用!$A$2:$M$57,MATCH("処遇改善加算Ⅳ",【参考】数式用!$G$3:$M$3,0)+6,0),0)*M39,0)*Z39*0.5,0), "")</f>
        <v>5337500</v>
      </c>
      <c r="AD39" s="156" t="s">
        <v>2596</v>
      </c>
      <c r="AE39" s="157" t="s">
        <v>2596</v>
      </c>
      <c r="AF39" s="157" t="s">
        <v>2596</v>
      </c>
      <c r="AG39" s="158">
        <v>1</v>
      </c>
      <c r="AH39" s="159"/>
      <c r="AI39" s="160"/>
      <c r="AJ39" s="161"/>
      <c r="AK39" s="545" t="str">
        <f t="shared" si="17"/>
        <v/>
      </c>
      <c r="AL39" s="546" t="str">
        <f t="shared" si="0"/>
        <v/>
      </c>
      <c r="AM39" s="547"/>
      <c r="AN39" s="548" t="str">
        <f>IFERROR(VLOOKUP(K39,【参考】数式用!$A$2:$N$57,14,FALSE),"")</f>
        <v>加算対象</v>
      </c>
      <c r="AO39" s="548" t="str">
        <f t="shared" si="1"/>
        <v>N列に色付け</v>
      </c>
      <c r="AP39" s="549" t="str">
        <f t="shared" si="18"/>
        <v>入力済</v>
      </c>
      <c r="AQ39" s="549" t="str">
        <f t="shared" si="19"/>
        <v>キャリアパス要件Ⅰ・Ⅱ_加算対象</v>
      </c>
      <c r="AR39" s="550" t="str">
        <f t="shared" si="20"/>
        <v>入力済</v>
      </c>
      <c r="AS39" s="548" t="str">
        <f t="shared" si="2"/>
        <v>AF列に色付け</v>
      </c>
      <c r="AT39" s="550" t="str">
        <f t="shared" si="3"/>
        <v>入力済</v>
      </c>
      <c r="AU39" s="550" t="str">
        <f t="shared" si="4"/>
        <v>対象</v>
      </c>
      <c r="AV39" s="550">
        <f t="shared" si="5"/>
        <v>1</v>
      </c>
      <c r="AW39" s="548" t="str">
        <f t="shared" si="6"/>
        <v/>
      </c>
      <c r="AX39" s="548" t="str">
        <f t="shared" si="7"/>
        <v>入力済</v>
      </c>
      <c r="AY39" s="550" t="str">
        <f>IFERROR(VLOOKUP(K39,【参考】数式用!$AR$3:$AS$49, 2, FALSE), "")</f>
        <v>複合型サービス_看護小規模多機能型居宅介護・短期利用型_Ⅴ</v>
      </c>
      <c r="AZ39" s="548" t="str">
        <f t="shared" si="8"/>
        <v/>
      </c>
      <c r="BA39" s="551" t="str">
        <f t="shared" si="21"/>
        <v>入力済</v>
      </c>
      <c r="BB39" s="550" t="str">
        <f>IFERROR(VLOOKUP(K39,【参考】数式用!$AX$3:$AY$56, 2, FALSE), "")</f>
        <v>複合型サービス_看護小規模多機能型居宅介護・短期利用型_R8</v>
      </c>
      <c r="BC39" s="548" t="str">
        <f t="shared" si="9"/>
        <v/>
      </c>
      <c r="BD39" s="551" t="str">
        <f t="shared" si="22"/>
        <v>入力済</v>
      </c>
      <c r="BE39" s="551" t="str">
        <f t="shared" si="10"/>
        <v/>
      </c>
      <c r="BF39" s="551" t="str">
        <f t="shared" si="11"/>
        <v/>
      </c>
      <c r="BG39" s="551" t="str">
        <f t="shared" si="12"/>
        <v/>
      </c>
      <c r="BH39" s="551" t="str">
        <f t="shared" si="13"/>
        <v/>
      </c>
      <c r="BI39" s="551" t="str">
        <f t="shared" si="14"/>
        <v>北茨城市</v>
      </c>
    </row>
    <row r="40" spans="1:61" s="553" customFormat="1" ht="109.95" customHeight="1" thickBot="1">
      <c r="A40" s="456">
        <v>29</v>
      </c>
      <c r="B40" s="724" t="str">
        <f>IF(基本情報入力シート!B68="","",基本情報入力シート!B68)</f>
        <v>0811111123</v>
      </c>
      <c r="C40" s="725"/>
      <c r="D40" s="725"/>
      <c r="E40" s="725"/>
      <c r="F40" s="726"/>
      <c r="G40" s="457" t="str">
        <f>IF(基本情報入力シート!L68="", "", 基本情報入力シート!L68)</f>
        <v>笠間市</v>
      </c>
      <c r="H40" s="457" t="str">
        <f>IF(基本情報入力シート!Q68="", "", 基本情報入力シート!Q68)</f>
        <v>茨城県</v>
      </c>
      <c r="I40" s="457" t="str">
        <f>IF(基本情報入力シート!V68="", "", 基本情報入力シート!V68)</f>
        <v>笠間市</v>
      </c>
      <c r="J40" s="457" t="str">
        <f>IF(基本情報入力シート!W68="", "", 基本情報入力シート!W68)</f>
        <v>グループホーム　○○</v>
      </c>
      <c r="K40" s="457" t="str">
        <f>IF(基本情報入力シート!Z68="", "", 基本情報入力シート!Z68)</f>
        <v>認知症対応型共同生活介護</v>
      </c>
      <c r="L40" s="101">
        <f>IF(基本情報入力シート!AF68=0, "",基本情報入力シート!AF68)</f>
        <v>822000</v>
      </c>
      <c r="M40" s="142">
        <f>IF(AND(基本情報入力シート!AG68="",基本情報入力シート!AG68=""), "", 基本情報入力シート!AG68)</f>
        <v>10.14</v>
      </c>
      <c r="N40" s="136" t="s">
        <v>369</v>
      </c>
      <c r="O40" s="155">
        <f>IFERROR(VLOOKUP(K40,【参考】数式用!$A$2:$M$57,MATCH(N40,【参考】数式用!$G$3:$M$3,0)+6,0),"")</f>
        <v>0.17899999999999999</v>
      </c>
      <c r="P40" s="458" t="s">
        <v>180</v>
      </c>
      <c r="Q40" s="141">
        <v>8</v>
      </c>
      <c r="R40" s="459" t="s">
        <v>271</v>
      </c>
      <c r="S40" s="141">
        <v>6</v>
      </c>
      <c r="T40" s="459" t="s">
        <v>272</v>
      </c>
      <c r="U40" s="141">
        <v>9</v>
      </c>
      <c r="V40" s="459" t="s">
        <v>271</v>
      </c>
      <c r="W40" s="141">
        <v>3</v>
      </c>
      <c r="X40" s="459" t="s">
        <v>273</v>
      </c>
      <c r="Y40" s="459" t="s">
        <v>274</v>
      </c>
      <c r="Z40" s="459">
        <f t="shared" si="15"/>
        <v>10</v>
      </c>
      <c r="AA40" s="460" t="s">
        <v>275</v>
      </c>
      <c r="AB40" s="461">
        <f t="shared" si="16"/>
        <v>14919790</v>
      </c>
      <c r="AC40" s="462">
        <f>IFERROR(ROUNDDOWN(ROUNDDOWN(ROUND(L40*VLOOKUP(K40,【参考】数式用!$A$2:$M$57,MATCH("処遇改善加算Ⅳ",【参考】数式用!$G$3:$M$3,0)+6,0),0)*M40,0)*Z40*0.5,0), "")</f>
        <v>6209630</v>
      </c>
      <c r="AD40" s="156" t="s">
        <v>2596</v>
      </c>
      <c r="AE40" s="157" t="s">
        <v>2596</v>
      </c>
      <c r="AF40" s="157" t="s">
        <v>2596</v>
      </c>
      <c r="AG40" s="158"/>
      <c r="AH40" s="159"/>
      <c r="AI40" s="160"/>
      <c r="AJ40" s="161"/>
      <c r="AK40" s="545" t="str">
        <f t="shared" si="17"/>
        <v/>
      </c>
      <c r="AL40" s="546" t="str">
        <f t="shared" si="0"/>
        <v/>
      </c>
      <c r="AM40" s="547"/>
      <c r="AN40" s="548" t="str">
        <f>IFERROR(VLOOKUP(K40,【参考】数式用!$A$2:$N$57,14,FALSE),"")</f>
        <v>加算対象</v>
      </c>
      <c r="AO40" s="548" t="str">
        <f t="shared" si="1"/>
        <v>N列に色付け</v>
      </c>
      <c r="AP40" s="549" t="str">
        <f t="shared" si="18"/>
        <v>入力済</v>
      </c>
      <c r="AQ40" s="549" t="str">
        <f t="shared" si="19"/>
        <v>キャリアパス要件Ⅰ・Ⅱ_加算対象</v>
      </c>
      <c r="AR40" s="550" t="str">
        <f t="shared" si="20"/>
        <v>入力済</v>
      </c>
      <c r="AS40" s="548" t="str">
        <f t="shared" si="2"/>
        <v>AF列に色付け</v>
      </c>
      <c r="AT40" s="550" t="str">
        <f t="shared" si="3"/>
        <v>入力済</v>
      </c>
      <c r="AU40" s="550" t="str">
        <f t="shared" si="4"/>
        <v/>
      </c>
      <c r="AV40" s="550" t="str">
        <f t="shared" si="5"/>
        <v/>
      </c>
      <c r="AW40" s="548" t="str">
        <f t="shared" si="6"/>
        <v/>
      </c>
      <c r="AX40" s="548" t="str">
        <f t="shared" si="7"/>
        <v>入力済</v>
      </c>
      <c r="AY40" s="550" t="str">
        <f>IFERROR(VLOOKUP(K40,【参考】数式用!$AR$3:$AS$49, 2, FALSE), "")</f>
        <v>認知症対応型共同生活介護Ⅴ</v>
      </c>
      <c r="AZ40" s="548" t="str">
        <f t="shared" si="8"/>
        <v/>
      </c>
      <c r="BA40" s="551" t="str">
        <f t="shared" si="21"/>
        <v>入力済</v>
      </c>
      <c r="BB40" s="550" t="str">
        <f>IFERROR(VLOOKUP(K40,【参考】数式用!$AX$3:$AY$56, 2, FALSE), "")</f>
        <v>認知症対応型共同生活介護R8</v>
      </c>
      <c r="BC40" s="548" t="str">
        <f t="shared" si="9"/>
        <v/>
      </c>
      <c r="BD40" s="551" t="str">
        <f t="shared" si="22"/>
        <v>入力済</v>
      </c>
      <c r="BE40" s="551" t="str">
        <f t="shared" si="10"/>
        <v/>
      </c>
      <c r="BF40" s="551" t="str">
        <f t="shared" si="11"/>
        <v/>
      </c>
      <c r="BG40" s="551" t="str">
        <f t="shared" si="12"/>
        <v/>
      </c>
      <c r="BH40" s="551" t="str">
        <f t="shared" si="13"/>
        <v/>
      </c>
      <c r="BI40" s="551" t="str">
        <f t="shared" si="14"/>
        <v>笠間市</v>
      </c>
    </row>
    <row r="41" spans="1:61" ht="109.95" customHeight="1" thickBot="1">
      <c r="A41" s="456">
        <v>30</v>
      </c>
      <c r="B41" s="724" t="str">
        <f>IF(基本情報入力シート!B69="","",基本情報入力シート!B69)</f>
        <v>0811111123</v>
      </c>
      <c r="C41" s="725"/>
      <c r="D41" s="725"/>
      <c r="E41" s="725"/>
      <c r="F41" s="726"/>
      <c r="G41" s="457" t="str">
        <f>IF(基本情報入力シート!L69="", "", 基本情報入力シート!L69)</f>
        <v>笠間市</v>
      </c>
      <c r="H41" s="457" t="str">
        <f>IF(基本情報入力シート!Q69="", "", 基本情報入力シート!Q69)</f>
        <v>茨城県</v>
      </c>
      <c r="I41" s="457" t="str">
        <f>IF(基本情報入力シート!V69="", "", 基本情報入力シート!V69)</f>
        <v>笠間市</v>
      </c>
      <c r="J41" s="457" t="str">
        <f>IF(基本情報入力シート!W69="", "", 基本情報入力シート!W69)</f>
        <v>グループホーム　○○</v>
      </c>
      <c r="K41" s="457" t="str">
        <f>IF(基本情報入力シート!Z69="", "", 基本情報入力シート!Z69)</f>
        <v>認知症対応型共同生活介護（短期利用型）</v>
      </c>
      <c r="L41" s="101">
        <f>IF(基本情報入力シート!AF69=0, "",基本情報入力シート!AF69)</f>
        <v>822000</v>
      </c>
      <c r="M41" s="142">
        <f>IF(AND(基本情報入力シート!AG69="",基本情報入力シート!AG69=""), "", 基本情報入力シート!AG69)</f>
        <v>10.14</v>
      </c>
      <c r="N41" s="136" t="s">
        <v>369</v>
      </c>
      <c r="O41" s="155">
        <f>IFERROR(VLOOKUP(K41,【参考】数式用!$A$2:$M$57,MATCH(N41,【参考】数式用!$G$3:$M$3,0)+6,0),"")</f>
        <v>0.17899999999999999</v>
      </c>
      <c r="P41" s="458" t="s">
        <v>180</v>
      </c>
      <c r="Q41" s="141">
        <v>8</v>
      </c>
      <c r="R41" s="459" t="s">
        <v>271</v>
      </c>
      <c r="S41" s="141">
        <v>6</v>
      </c>
      <c r="T41" s="459" t="s">
        <v>272</v>
      </c>
      <c r="U41" s="141">
        <v>9</v>
      </c>
      <c r="V41" s="459" t="s">
        <v>271</v>
      </c>
      <c r="W41" s="141">
        <v>3</v>
      </c>
      <c r="X41" s="459" t="s">
        <v>273</v>
      </c>
      <c r="Y41" s="459" t="s">
        <v>274</v>
      </c>
      <c r="Z41" s="459">
        <f t="shared" si="15"/>
        <v>10</v>
      </c>
      <c r="AA41" s="460" t="s">
        <v>275</v>
      </c>
      <c r="AB41" s="461">
        <f t="shared" si="16"/>
        <v>14919790</v>
      </c>
      <c r="AC41" s="462">
        <f>IFERROR(ROUNDDOWN(ROUNDDOWN(ROUND(L41*VLOOKUP(K41,【参考】数式用!$A$2:$M$57,MATCH("処遇改善加算Ⅳ",【参考】数式用!$G$3:$M$3,0)+6,0),0)*M41,0)*Z41*0.5,0), "")</f>
        <v>6209630</v>
      </c>
      <c r="AD41" s="156" t="s">
        <v>2596</v>
      </c>
      <c r="AE41" s="157" t="s">
        <v>2596</v>
      </c>
      <c r="AF41" s="157" t="s">
        <v>2596</v>
      </c>
      <c r="AG41" s="158"/>
      <c r="AH41" s="159"/>
      <c r="AI41" s="160"/>
      <c r="AJ41" s="161"/>
      <c r="AK41" s="545" t="str">
        <f t="shared" si="17"/>
        <v/>
      </c>
      <c r="AL41" s="546" t="str">
        <f t="shared" si="0"/>
        <v/>
      </c>
      <c r="AM41" s="547"/>
      <c r="AN41" s="548" t="str">
        <f>IFERROR(VLOOKUP(K41,【参考】数式用!$A$2:$N$57,14,FALSE),"")</f>
        <v>加算対象</v>
      </c>
      <c r="AO41" s="548" t="str">
        <f t="shared" si="1"/>
        <v>N列に色付け</v>
      </c>
      <c r="AP41" s="549" t="str">
        <f t="shared" si="18"/>
        <v>入力済</v>
      </c>
      <c r="AQ41" s="549" t="str">
        <f t="shared" si="19"/>
        <v>キャリアパス要件Ⅰ・Ⅱ_加算対象</v>
      </c>
      <c r="AR41" s="550" t="str">
        <f t="shared" si="20"/>
        <v>入力済</v>
      </c>
      <c r="AS41" s="548" t="str">
        <f t="shared" si="2"/>
        <v>AF列に色付け</v>
      </c>
      <c r="AT41" s="550" t="str">
        <f t="shared" si="3"/>
        <v>入力済</v>
      </c>
      <c r="AU41" s="550" t="str">
        <f t="shared" si="4"/>
        <v/>
      </c>
      <c r="AV41" s="550" t="str">
        <f t="shared" si="5"/>
        <v/>
      </c>
      <c r="AW41" s="548" t="str">
        <f t="shared" si="6"/>
        <v/>
      </c>
      <c r="AX41" s="548" t="str">
        <f t="shared" si="7"/>
        <v>入力済</v>
      </c>
      <c r="AY41" s="550" t="str">
        <f>IFERROR(VLOOKUP(K41,【参考】数式用!$AR$3:$AS$49, 2, FALSE), "")</f>
        <v>認知症対応型共同生活介護_短期利用型_Ⅴ</v>
      </c>
      <c r="AZ41" s="548" t="str">
        <f t="shared" si="8"/>
        <v/>
      </c>
      <c r="BA41" s="551" t="str">
        <f t="shared" si="21"/>
        <v>入力済</v>
      </c>
      <c r="BB41" s="550" t="str">
        <f>IFERROR(VLOOKUP(K41,【参考】数式用!$AX$3:$AY$56, 2, FALSE), "")</f>
        <v>認知症対応型共同生活介護_短期利用型_R8</v>
      </c>
      <c r="BC41" s="548" t="str">
        <f t="shared" si="9"/>
        <v/>
      </c>
      <c r="BD41" s="551" t="str">
        <f t="shared" si="22"/>
        <v>入力済</v>
      </c>
      <c r="BE41" s="551" t="str">
        <f t="shared" si="10"/>
        <v/>
      </c>
      <c r="BF41" s="551" t="str">
        <f t="shared" si="11"/>
        <v/>
      </c>
      <c r="BG41" s="551" t="str">
        <f t="shared" si="12"/>
        <v/>
      </c>
      <c r="BH41" s="551" t="str">
        <f t="shared" si="13"/>
        <v/>
      </c>
      <c r="BI41" s="551" t="str">
        <f t="shared" si="14"/>
        <v>笠間市</v>
      </c>
    </row>
    <row r="42" spans="1:61" ht="109.95" customHeight="1" thickBot="1">
      <c r="A42" s="456">
        <v>31</v>
      </c>
      <c r="B42" s="724" t="str">
        <f>IF(基本情報入力シート!B70="","",基本情報入力シート!B70)</f>
        <v>0811111123</v>
      </c>
      <c r="C42" s="725"/>
      <c r="D42" s="725"/>
      <c r="E42" s="725"/>
      <c r="F42" s="726"/>
      <c r="G42" s="457" t="str">
        <f>IF(基本情報入力シート!L70="", "", 基本情報入力シート!L70)</f>
        <v>笠間市</v>
      </c>
      <c r="H42" s="457" t="str">
        <f>IF(基本情報入力シート!Q70="", "", 基本情報入力シート!Q70)</f>
        <v>茨城県</v>
      </c>
      <c r="I42" s="457" t="str">
        <f>IF(基本情報入力シート!V70="", "", 基本情報入力シート!V70)</f>
        <v>笠間市</v>
      </c>
      <c r="J42" s="457" t="str">
        <f>IF(基本情報入力シート!W70="", "", 基本情報入力シート!W70)</f>
        <v>グループホーム　○○</v>
      </c>
      <c r="K42" s="457" t="str">
        <f>IF(基本情報入力シート!Z70="", "", 基本情報入力シート!Z70)</f>
        <v>介護予防認知症対応型共同生活介護</v>
      </c>
      <c r="L42" s="101">
        <f>IF(基本情報入力シート!AF70=0, "",基本情報入力シート!AF70)</f>
        <v>822000</v>
      </c>
      <c r="M42" s="142">
        <f>IF(AND(基本情報入力シート!AG70="",基本情報入力シート!AG70=""), "", 基本情報入力シート!AG70)</f>
        <v>10.14</v>
      </c>
      <c r="N42" s="136" t="s">
        <v>369</v>
      </c>
      <c r="O42" s="155">
        <f>IFERROR(VLOOKUP(K42,【参考】数式用!$A$2:$M$57,MATCH(N42,【参考】数式用!$G$3:$M$3,0)+6,0),"")</f>
        <v>0.17899999999999999</v>
      </c>
      <c r="P42" s="458" t="s">
        <v>180</v>
      </c>
      <c r="Q42" s="141">
        <v>8</v>
      </c>
      <c r="R42" s="459" t="s">
        <v>271</v>
      </c>
      <c r="S42" s="141">
        <v>6</v>
      </c>
      <c r="T42" s="459" t="s">
        <v>272</v>
      </c>
      <c r="U42" s="141">
        <v>9</v>
      </c>
      <c r="V42" s="459" t="s">
        <v>271</v>
      </c>
      <c r="W42" s="141">
        <v>3</v>
      </c>
      <c r="X42" s="459" t="s">
        <v>273</v>
      </c>
      <c r="Y42" s="459" t="s">
        <v>274</v>
      </c>
      <c r="Z42" s="459">
        <f t="shared" si="15"/>
        <v>10</v>
      </c>
      <c r="AA42" s="460" t="s">
        <v>275</v>
      </c>
      <c r="AB42" s="461">
        <f t="shared" si="16"/>
        <v>14919790</v>
      </c>
      <c r="AC42" s="462">
        <f>IFERROR(ROUNDDOWN(ROUNDDOWN(ROUND(L42*VLOOKUP(K42,【参考】数式用!$A$2:$M$57,MATCH("処遇改善加算Ⅳ",【参考】数式用!$G$3:$M$3,0)+6,0),0)*M42,0)*Z42*0.5,0), "")</f>
        <v>6209630</v>
      </c>
      <c r="AD42" s="156" t="s">
        <v>2596</v>
      </c>
      <c r="AE42" s="157" t="s">
        <v>2596</v>
      </c>
      <c r="AF42" s="157" t="s">
        <v>2596</v>
      </c>
      <c r="AG42" s="158"/>
      <c r="AH42" s="159"/>
      <c r="AI42" s="160"/>
      <c r="AJ42" s="161"/>
      <c r="AK42" s="545" t="str">
        <f t="shared" si="17"/>
        <v/>
      </c>
      <c r="AL42" s="546" t="str">
        <f t="shared" si="0"/>
        <v/>
      </c>
      <c r="AM42" s="547"/>
      <c r="AN42" s="548" t="str">
        <f>IFERROR(VLOOKUP(K42,【参考】数式用!$A$2:$N$57,14,FALSE),"")</f>
        <v>加算対象</v>
      </c>
      <c r="AO42" s="548" t="str">
        <f t="shared" si="1"/>
        <v>N列に色付け</v>
      </c>
      <c r="AP42" s="549" t="str">
        <f t="shared" si="18"/>
        <v>入力済</v>
      </c>
      <c r="AQ42" s="549" t="str">
        <f t="shared" si="19"/>
        <v>キャリアパス要件Ⅰ・Ⅱ_加算対象</v>
      </c>
      <c r="AR42" s="550" t="str">
        <f t="shared" si="20"/>
        <v>入力済</v>
      </c>
      <c r="AS42" s="548" t="str">
        <f t="shared" si="2"/>
        <v>AF列に色付け</v>
      </c>
      <c r="AT42" s="550" t="str">
        <f t="shared" si="3"/>
        <v>入力済</v>
      </c>
      <c r="AU42" s="550" t="str">
        <f t="shared" si="4"/>
        <v/>
      </c>
      <c r="AV42" s="550" t="str">
        <f t="shared" si="5"/>
        <v/>
      </c>
      <c r="AW42" s="548" t="str">
        <f t="shared" si="6"/>
        <v/>
      </c>
      <c r="AX42" s="548" t="str">
        <f t="shared" si="7"/>
        <v>入力済</v>
      </c>
      <c r="AY42" s="550" t="str">
        <f>IFERROR(VLOOKUP(K42,【参考】数式用!$AR$3:$AS$49, 2, FALSE), "")</f>
        <v>介護予防認知症対応型共同生活介護Ⅴ</v>
      </c>
      <c r="AZ42" s="548" t="str">
        <f t="shared" si="8"/>
        <v/>
      </c>
      <c r="BA42" s="551" t="str">
        <f t="shared" si="21"/>
        <v>入力済</v>
      </c>
      <c r="BB42" s="550" t="str">
        <f>IFERROR(VLOOKUP(K42,【参考】数式用!$AX$3:$AY$56, 2, FALSE), "")</f>
        <v>介護予防認知症対応型共同生活介護R8</v>
      </c>
      <c r="BC42" s="548" t="str">
        <f t="shared" si="9"/>
        <v/>
      </c>
      <c r="BD42" s="551" t="str">
        <f t="shared" si="22"/>
        <v>入力済</v>
      </c>
      <c r="BE42" s="551" t="str">
        <f t="shared" si="10"/>
        <v/>
      </c>
      <c r="BF42" s="551" t="str">
        <f t="shared" si="11"/>
        <v/>
      </c>
      <c r="BG42" s="551" t="str">
        <f t="shared" si="12"/>
        <v/>
      </c>
      <c r="BH42" s="551" t="str">
        <f t="shared" si="13"/>
        <v/>
      </c>
      <c r="BI42" s="551" t="str">
        <f t="shared" si="14"/>
        <v>笠間市</v>
      </c>
    </row>
    <row r="43" spans="1:61" ht="109.95" customHeight="1" thickBot="1">
      <c r="A43" s="456">
        <v>32</v>
      </c>
      <c r="B43" s="724" t="str">
        <f>IF(基本情報入力シート!B71="","",基本情報入力シート!B71)</f>
        <v>0811111123</v>
      </c>
      <c r="C43" s="725"/>
      <c r="D43" s="725"/>
      <c r="E43" s="725"/>
      <c r="F43" s="726"/>
      <c r="G43" s="457" t="str">
        <f>IF(基本情報入力シート!L71="", "", 基本情報入力シート!L71)</f>
        <v>笠間市</v>
      </c>
      <c r="H43" s="457" t="str">
        <f>IF(基本情報入力シート!Q71="", "", 基本情報入力シート!Q71)</f>
        <v>茨城県</v>
      </c>
      <c r="I43" s="457" t="str">
        <f>IF(基本情報入力シート!V71="", "", 基本情報入力シート!V71)</f>
        <v>笠間市</v>
      </c>
      <c r="J43" s="457" t="str">
        <f>IF(基本情報入力シート!W71="", "", 基本情報入力シート!W71)</f>
        <v>グループホーム　○○</v>
      </c>
      <c r="K43" s="457" t="str">
        <f>IF(基本情報入力シート!Z71="", "", 基本情報入力シート!Z71)</f>
        <v>介護予防認知症対応型共同生活介護（短期利用型）</v>
      </c>
      <c r="L43" s="101">
        <f>IF(基本情報入力シート!AF71=0, "",基本情報入力シート!AF71)</f>
        <v>822000</v>
      </c>
      <c r="M43" s="142">
        <f>IF(AND(基本情報入力シート!AG71="",基本情報入力シート!AG71=""), "", 基本情報入力シート!AG71)</f>
        <v>10.14</v>
      </c>
      <c r="N43" s="136" t="s">
        <v>369</v>
      </c>
      <c r="O43" s="155">
        <f>IFERROR(VLOOKUP(K43,【参考】数式用!$A$2:$M$57,MATCH(N43,【参考】数式用!$G$3:$M$3,0)+6,0),"")</f>
        <v>0.17899999999999999</v>
      </c>
      <c r="P43" s="458" t="s">
        <v>180</v>
      </c>
      <c r="Q43" s="141">
        <v>8</v>
      </c>
      <c r="R43" s="459" t="s">
        <v>271</v>
      </c>
      <c r="S43" s="141">
        <v>6</v>
      </c>
      <c r="T43" s="459" t="s">
        <v>272</v>
      </c>
      <c r="U43" s="141">
        <v>9</v>
      </c>
      <c r="V43" s="459" t="s">
        <v>271</v>
      </c>
      <c r="W43" s="141">
        <v>3</v>
      </c>
      <c r="X43" s="459" t="s">
        <v>182</v>
      </c>
      <c r="Y43" s="459" t="s">
        <v>274</v>
      </c>
      <c r="Z43" s="459">
        <f t="shared" si="15"/>
        <v>10</v>
      </c>
      <c r="AA43" s="460" t="s">
        <v>275</v>
      </c>
      <c r="AB43" s="461">
        <f t="shared" si="16"/>
        <v>14919790</v>
      </c>
      <c r="AC43" s="462">
        <f>IFERROR(ROUNDDOWN(ROUNDDOWN(ROUND(L43*VLOOKUP(K43,【参考】数式用!$A$2:$M$57,MATCH("処遇改善加算Ⅳ",【参考】数式用!$G$3:$M$3,0)+6,0),0)*M43,0)*Z43*0.5,0), "")</f>
        <v>6209630</v>
      </c>
      <c r="AD43" s="156" t="s">
        <v>2596</v>
      </c>
      <c r="AE43" s="157" t="s">
        <v>2596</v>
      </c>
      <c r="AF43" s="157" t="s">
        <v>2596</v>
      </c>
      <c r="AG43" s="158"/>
      <c r="AH43" s="159"/>
      <c r="AI43" s="160"/>
      <c r="AJ43" s="161"/>
      <c r="AK43" s="545" t="str">
        <f t="shared" si="17"/>
        <v/>
      </c>
      <c r="AL43" s="546" t="str">
        <f t="shared" si="0"/>
        <v/>
      </c>
      <c r="AM43" s="547"/>
      <c r="AN43" s="548" t="str">
        <f>IFERROR(VLOOKUP(K43,【参考】数式用!$A$2:$N$57,14,FALSE),"")</f>
        <v>加算対象</v>
      </c>
      <c r="AO43" s="548" t="str">
        <f t="shared" si="1"/>
        <v>N列に色付け</v>
      </c>
      <c r="AP43" s="549" t="str">
        <f t="shared" si="18"/>
        <v>入力済</v>
      </c>
      <c r="AQ43" s="549" t="str">
        <f t="shared" si="19"/>
        <v>キャリアパス要件Ⅰ・Ⅱ_加算対象</v>
      </c>
      <c r="AR43" s="550" t="str">
        <f t="shared" si="20"/>
        <v>入力済</v>
      </c>
      <c r="AS43" s="548" t="str">
        <f t="shared" si="2"/>
        <v>AF列に色付け</v>
      </c>
      <c r="AT43" s="550" t="str">
        <f t="shared" si="3"/>
        <v>入力済</v>
      </c>
      <c r="AU43" s="550" t="str">
        <f t="shared" si="4"/>
        <v/>
      </c>
      <c r="AV43" s="550" t="str">
        <f t="shared" si="5"/>
        <v/>
      </c>
      <c r="AW43" s="548" t="str">
        <f t="shared" si="6"/>
        <v/>
      </c>
      <c r="AX43" s="548" t="str">
        <f t="shared" si="7"/>
        <v>入力済</v>
      </c>
      <c r="AY43" s="550" t="str">
        <f>IFERROR(VLOOKUP(K43,【参考】数式用!$AR$3:$AS$49, 2, FALSE), "")</f>
        <v>介護予防認知症対応型共同生活介護_短期利用型_Ⅴ</v>
      </c>
      <c r="AZ43" s="548" t="str">
        <f t="shared" si="8"/>
        <v/>
      </c>
      <c r="BA43" s="551" t="str">
        <f t="shared" si="21"/>
        <v>入力済</v>
      </c>
      <c r="BB43" s="550" t="str">
        <f>IFERROR(VLOOKUP(K43,【参考】数式用!$AX$3:$AY$56, 2, FALSE), "")</f>
        <v>介護予防認知症対応型共同生活介護_短期利用型_R8</v>
      </c>
      <c r="BC43" s="548" t="str">
        <f t="shared" si="9"/>
        <v/>
      </c>
      <c r="BD43" s="551" t="str">
        <f t="shared" si="22"/>
        <v>入力済</v>
      </c>
      <c r="BE43" s="551" t="str">
        <f t="shared" si="10"/>
        <v/>
      </c>
      <c r="BF43" s="551" t="str">
        <f t="shared" si="11"/>
        <v/>
      </c>
      <c r="BG43" s="551" t="str">
        <f t="shared" si="12"/>
        <v/>
      </c>
      <c r="BH43" s="551" t="str">
        <f t="shared" si="13"/>
        <v/>
      </c>
      <c r="BI43" s="551" t="str">
        <f t="shared" si="14"/>
        <v>笠間市</v>
      </c>
    </row>
    <row r="44" spans="1:61" ht="109.95" customHeight="1" thickBot="1">
      <c r="A44" s="456">
        <v>33</v>
      </c>
      <c r="B44" s="724" t="str">
        <f>IF(基本情報入力シート!B72="","",基本情報入力シート!B72)</f>
        <v>0811111124</v>
      </c>
      <c r="C44" s="725"/>
      <c r="D44" s="725"/>
      <c r="E44" s="725"/>
      <c r="F44" s="726"/>
      <c r="G44" s="457" t="str">
        <f>IF(基本情報入力シート!L72="", "", 基本情報入力シート!L72)</f>
        <v>茨城県</v>
      </c>
      <c r="H44" s="457" t="str">
        <f>IF(基本情報入力シート!Q72="", "", 基本情報入力シート!Q72)</f>
        <v>茨城県</v>
      </c>
      <c r="I44" s="457" t="str">
        <f>IF(基本情報入力シート!V72="", "", 基本情報入力シート!V72)</f>
        <v>取手市</v>
      </c>
      <c r="J44" s="457" t="str">
        <f>IF(基本情報入力シート!W72="", "", 基本情報入力シート!W72)</f>
        <v>特別養護老人ホーム　○○</v>
      </c>
      <c r="K44" s="457" t="str">
        <f>IF(基本情報入力シート!Z72="", "", 基本情報入力シート!Z72)</f>
        <v>介護老人福祉施設</v>
      </c>
      <c r="L44" s="101">
        <f>IF(基本情報入力シート!AF72=0, "",基本情報入力シート!AF72)</f>
        <v>864000</v>
      </c>
      <c r="M44" s="142">
        <f>IF(AND(基本情報入力シート!AG72="",基本情報入力シート!AG72=""), "", 基本情報入力シート!AG72)</f>
        <v>10.45</v>
      </c>
      <c r="N44" s="136" t="s">
        <v>2599</v>
      </c>
      <c r="O44" s="155">
        <f>IFERROR(VLOOKUP(K44,【参考】数式用!$A$2:$M$57,MATCH(N44,【参考】数式用!$G$3:$M$3,0)+6,0),"")</f>
        <v>0.17599999999999999</v>
      </c>
      <c r="P44" s="458" t="s">
        <v>180</v>
      </c>
      <c r="Q44" s="141">
        <v>8</v>
      </c>
      <c r="R44" s="459" t="s">
        <v>271</v>
      </c>
      <c r="S44" s="141">
        <v>6</v>
      </c>
      <c r="T44" s="459" t="s">
        <v>272</v>
      </c>
      <c r="U44" s="141">
        <v>9</v>
      </c>
      <c r="V44" s="459" t="s">
        <v>271</v>
      </c>
      <c r="W44" s="141">
        <v>3</v>
      </c>
      <c r="X44" s="459" t="s">
        <v>182</v>
      </c>
      <c r="Y44" s="459" t="s">
        <v>274</v>
      </c>
      <c r="Z44" s="459">
        <f t="shared" si="15"/>
        <v>10</v>
      </c>
      <c r="AA44" s="460" t="s">
        <v>275</v>
      </c>
      <c r="AB44" s="461">
        <f t="shared" si="16"/>
        <v>15890680</v>
      </c>
      <c r="AC44" s="462">
        <f>IFERROR(ROUNDDOWN(ROUNDDOWN(ROUND(L44*VLOOKUP(K44,【参考】数式用!$A$2:$M$57,MATCH("処遇改善加算Ⅳ",【参考】数式用!$G$3:$M$3,0)+6,0),0)*M44,0)*Z44*0.5,0), "")</f>
        <v>5101270</v>
      </c>
      <c r="AD44" s="156" t="s">
        <v>2596</v>
      </c>
      <c r="AE44" s="157" t="s">
        <v>2596</v>
      </c>
      <c r="AF44" s="157" t="s">
        <v>2596</v>
      </c>
      <c r="AG44" s="158">
        <v>1</v>
      </c>
      <c r="AH44" s="159"/>
      <c r="AI44" s="160" t="s">
        <v>402</v>
      </c>
      <c r="AJ44" s="161" t="s">
        <v>496</v>
      </c>
      <c r="AK44" s="545" t="str">
        <f t="shared" si="17"/>
        <v/>
      </c>
      <c r="AL44" s="546" t="str">
        <f t="shared" si="0"/>
        <v/>
      </c>
      <c r="AM44" s="547"/>
      <c r="AN44" s="548" t="str">
        <f>IFERROR(VLOOKUP(K44,【参考】数式用!$A$2:$N$57,14,FALSE),"")</f>
        <v>加算対象</v>
      </c>
      <c r="AO44" s="548" t="str">
        <f t="shared" si="1"/>
        <v>N列に色付け</v>
      </c>
      <c r="AP44" s="549" t="str">
        <f t="shared" si="18"/>
        <v>入力済</v>
      </c>
      <c r="AQ44" s="549" t="str">
        <f t="shared" si="19"/>
        <v>キャリアパス要件Ⅰ・Ⅱ_加算対象</v>
      </c>
      <c r="AR44" s="550" t="str">
        <f t="shared" si="20"/>
        <v>入力済</v>
      </c>
      <c r="AS44" s="548" t="str">
        <f t="shared" si="2"/>
        <v>AF列に色付け</v>
      </c>
      <c r="AT44" s="550" t="str">
        <f t="shared" si="3"/>
        <v>入力済</v>
      </c>
      <c r="AU44" s="550" t="str">
        <f t="shared" si="4"/>
        <v>対象</v>
      </c>
      <c r="AV44" s="550">
        <f t="shared" si="5"/>
        <v>1</v>
      </c>
      <c r="AW44" s="548" t="str">
        <f t="shared" si="6"/>
        <v/>
      </c>
      <c r="AX44" s="548" t="str">
        <f t="shared" si="7"/>
        <v>入力済</v>
      </c>
      <c r="AY44" s="550" t="str">
        <f>IFERROR(VLOOKUP(K44,【参考】数式用!$AR$3:$AS$49, 2, FALSE), "")</f>
        <v>介護老人福祉施設サービスⅤ</v>
      </c>
      <c r="AZ44" s="548" t="str">
        <f t="shared" si="8"/>
        <v>AI列に色付け</v>
      </c>
      <c r="BA44" s="551" t="str">
        <f t="shared" si="21"/>
        <v>入力済</v>
      </c>
      <c r="BB44" s="550" t="str">
        <f>IFERROR(VLOOKUP(K44,【参考】数式用!$AX$3:$AY$56, 2, FALSE), "")</f>
        <v>介護老人福祉施設サービスR8</v>
      </c>
      <c r="BC44" s="548" t="str">
        <f t="shared" si="9"/>
        <v>AJ列に色付け</v>
      </c>
      <c r="BD44" s="551" t="str">
        <f t="shared" ref="BD44:BD75" si="38">IF(AND(COUNTIF(AE44:AH44,"*令和８年度特例要件を*")&gt;0,AJ44=""), "未入力","入力済")</f>
        <v>入力済</v>
      </c>
      <c r="BE44" s="551" t="str">
        <f t="shared" si="10"/>
        <v/>
      </c>
      <c r="BF44" s="551" t="str">
        <f t="shared" si="11"/>
        <v/>
      </c>
      <c r="BG44" s="551" t="str">
        <f t="shared" si="12"/>
        <v>入力必要</v>
      </c>
      <c r="BH44" s="551" t="str">
        <f t="shared" si="13"/>
        <v>入力済</v>
      </c>
      <c r="BI44" s="551" t="str">
        <f t="shared" si="14"/>
        <v>茨城県</v>
      </c>
    </row>
    <row r="45" spans="1:61" ht="109.95" customHeight="1" thickBot="1">
      <c r="A45" s="456">
        <v>34</v>
      </c>
      <c r="B45" s="724" t="str">
        <f>IF(基本情報入力シート!B73="","",基本情報入力シート!B73)</f>
        <v>0811111125</v>
      </c>
      <c r="C45" s="725"/>
      <c r="D45" s="725"/>
      <c r="E45" s="725"/>
      <c r="F45" s="726"/>
      <c r="G45" s="457" t="str">
        <f>IF(基本情報入力シート!L73="", "", 基本情報入力シート!L73)</f>
        <v>牛久市</v>
      </c>
      <c r="H45" s="457" t="str">
        <f>IF(基本情報入力シート!Q73="", "", 基本情報入力シート!Q73)</f>
        <v>茨城県</v>
      </c>
      <c r="I45" s="457" t="str">
        <f>IF(基本情報入力シート!V73="", "", 基本情報入力シート!V73)</f>
        <v>牛久市</v>
      </c>
      <c r="J45" s="457" t="str">
        <f>IF(基本情報入力シート!W73="", "", 基本情報入力シート!W73)</f>
        <v>地域密着型介護老人福祉施設　○○</v>
      </c>
      <c r="K45" s="457" t="str">
        <f>IF(基本情報入力シート!Z73="", "", 基本情報入力シート!Z73)</f>
        <v>地域密着型介護老人福祉施設</v>
      </c>
      <c r="L45" s="101">
        <f>IF(基本情報入力シート!AF73=0, "",基本情報入力シート!AF73)</f>
        <v>864000</v>
      </c>
      <c r="M45" s="142">
        <f>IF(AND(基本情報入力シート!AG73="",基本情報入力シート!AG73=""), "", 基本情報入力シート!AG73)</f>
        <v>10.54</v>
      </c>
      <c r="N45" s="136" t="s">
        <v>2599</v>
      </c>
      <c r="O45" s="155">
        <f>IFERROR(VLOOKUP(K45,【参考】数式用!$A$2:$M$57,MATCH(N45,【参考】数式用!$G$3:$M$3,0)+6,0),"")</f>
        <v>0.17599999999999999</v>
      </c>
      <c r="P45" s="458" t="s">
        <v>180</v>
      </c>
      <c r="Q45" s="141">
        <v>8</v>
      </c>
      <c r="R45" s="459" t="s">
        <v>271</v>
      </c>
      <c r="S45" s="141">
        <v>6</v>
      </c>
      <c r="T45" s="459" t="s">
        <v>272</v>
      </c>
      <c r="U45" s="141">
        <v>9</v>
      </c>
      <c r="V45" s="459" t="s">
        <v>271</v>
      </c>
      <c r="W45" s="141">
        <v>3</v>
      </c>
      <c r="X45" s="459" t="s">
        <v>273</v>
      </c>
      <c r="Y45" s="459" t="s">
        <v>274</v>
      </c>
      <c r="Z45" s="459">
        <f t="shared" si="15"/>
        <v>10</v>
      </c>
      <c r="AA45" s="460" t="s">
        <v>275</v>
      </c>
      <c r="AB45" s="461">
        <f t="shared" si="16"/>
        <v>16027540</v>
      </c>
      <c r="AC45" s="462">
        <f>IFERROR(ROUNDDOWN(ROUNDDOWN(ROUND(L45*VLOOKUP(K45,【参考】数式用!$A$2:$M$57,MATCH("処遇改善加算Ⅳ",【参考】数式用!$G$3:$M$3,0)+6,0),0)*M45,0)*Z45*0.5,0), "")</f>
        <v>5145205</v>
      </c>
      <c r="AD45" s="156" t="s">
        <v>2596</v>
      </c>
      <c r="AE45" s="157" t="s">
        <v>2596</v>
      </c>
      <c r="AF45" s="157" t="s">
        <v>2596</v>
      </c>
      <c r="AG45" s="158">
        <v>1</v>
      </c>
      <c r="AH45" s="159"/>
      <c r="AI45" s="160" t="s">
        <v>402</v>
      </c>
      <c r="AJ45" s="161" t="s">
        <v>528</v>
      </c>
      <c r="AK45" s="545" t="str">
        <f t="shared" si="17"/>
        <v/>
      </c>
      <c r="AL45" s="546" t="str">
        <f t="shared" si="0"/>
        <v/>
      </c>
      <c r="AM45" s="547"/>
      <c r="AN45" s="548" t="str">
        <f>IFERROR(VLOOKUP(K45,【参考】数式用!$A$2:$N$57,14,FALSE),"")</f>
        <v>加算対象</v>
      </c>
      <c r="AO45" s="548" t="str">
        <f t="shared" si="1"/>
        <v>N列に色付け</v>
      </c>
      <c r="AP45" s="549" t="str">
        <f t="shared" si="18"/>
        <v>入力済</v>
      </c>
      <c r="AQ45" s="549" t="str">
        <f t="shared" si="19"/>
        <v>キャリアパス要件Ⅰ・Ⅱ_加算対象</v>
      </c>
      <c r="AR45" s="550" t="str">
        <f t="shared" si="20"/>
        <v>入力済</v>
      </c>
      <c r="AS45" s="548" t="str">
        <f t="shared" si="2"/>
        <v>AF列に色付け</v>
      </c>
      <c r="AT45" s="550" t="str">
        <f t="shared" si="3"/>
        <v>入力済</v>
      </c>
      <c r="AU45" s="550" t="str">
        <f t="shared" si="4"/>
        <v>対象</v>
      </c>
      <c r="AV45" s="550">
        <f t="shared" si="5"/>
        <v>1</v>
      </c>
      <c r="AW45" s="548" t="str">
        <f t="shared" si="6"/>
        <v/>
      </c>
      <c r="AX45" s="548" t="str">
        <f t="shared" si="7"/>
        <v>入力済</v>
      </c>
      <c r="AY45" s="550" t="str">
        <f>IFERROR(VLOOKUP(K45,【参考】数式用!$AR$3:$AS$49, 2, FALSE), "")</f>
        <v>地域密着型介護老人福祉施設Ⅴ</v>
      </c>
      <c r="AZ45" s="548" t="str">
        <f t="shared" si="8"/>
        <v>AI列に色付け</v>
      </c>
      <c r="BA45" s="551" t="str">
        <f t="shared" si="21"/>
        <v>入力済</v>
      </c>
      <c r="BB45" s="550" t="str">
        <f>IFERROR(VLOOKUP(K45,【参考】数式用!$AX$3:$AY$56, 2, FALSE), "")</f>
        <v>地域密着型介護老人福祉施設R8</v>
      </c>
      <c r="BC45" s="548" t="str">
        <f t="shared" si="9"/>
        <v>AJ列に色付け</v>
      </c>
      <c r="BD45" s="551" t="str">
        <f t="shared" si="38"/>
        <v>入力済</v>
      </c>
      <c r="BE45" s="551" t="str">
        <f t="shared" si="10"/>
        <v/>
      </c>
      <c r="BF45" s="551" t="str">
        <f t="shared" si="11"/>
        <v/>
      </c>
      <c r="BG45" s="551" t="str">
        <f t="shared" si="12"/>
        <v>入力必要</v>
      </c>
      <c r="BH45" s="551" t="str">
        <f t="shared" si="13"/>
        <v>入力済</v>
      </c>
      <c r="BI45" s="551" t="str">
        <f t="shared" si="14"/>
        <v>牛久市</v>
      </c>
    </row>
    <row r="46" spans="1:61" ht="109.95" customHeight="1" thickBot="1">
      <c r="A46" s="456">
        <v>35</v>
      </c>
      <c r="B46" s="724" t="str">
        <f>IF(基本情報入力シート!B74="","",基本情報入力シート!B74)</f>
        <v>0811111126</v>
      </c>
      <c r="C46" s="725"/>
      <c r="D46" s="725"/>
      <c r="E46" s="725"/>
      <c r="F46" s="726"/>
      <c r="G46" s="457" t="str">
        <f>IF(基本情報入力シート!L74="", "", 基本情報入力シート!L74)</f>
        <v>つくば市</v>
      </c>
      <c r="H46" s="457" t="str">
        <f>IF(基本情報入力シート!Q74="", "", 基本情報入力シート!Q74)</f>
        <v>茨城県</v>
      </c>
      <c r="I46" s="457" t="str">
        <f>IF(基本情報入力シート!V74="", "", 基本情報入力シート!V74)</f>
        <v>つくば市</v>
      </c>
      <c r="J46" s="457" t="str">
        <f>IF(基本情報入力シート!W74="", "", 基本情報入力シート!W74)</f>
        <v>ショートステイ　○○</v>
      </c>
      <c r="K46" s="457" t="str">
        <f>IF(基本情報入力シート!Z74="", "", 基本情報入力シート!Z74)</f>
        <v>短期入所生活介護</v>
      </c>
      <c r="L46" s="101">
        <f>IF(基本情報入力シート!AF74=0, "",基本情報入力シート!AF74)</f>
        <v>864000</v>
      </c>
      <c r="M46" s="142">
        <f>IF(AND(基本情報入力シート!AG74="",基本情報入力シート!AG74=""), "", 基本情報入力シート!AG74)</f>
        <v>10.55</v>
      </c>
      <c r="N46" s="136" t="s">
        <v>2599</v>
      </c>
      <c r="O46" s="155">
        <f>IFERROR(VLOOKUP(K46,【参考】数式用!$A$2:$M$57,MATCH(N46,【参考】数式用!$G$3:$M$3,0)+6,0),"")</f>
        <v>0.17599999999999999</v>
      </c>
      <c r="P46" s="458" t="s">
        <v>180</v>
      </c>
      <c r="Q46" s="141">
        <v>8</v>
      </c>
      <c r="R46" s="459" t="s">
        <v>271</v>
      </c>
      <c r="S46" s="141">
        <v>6</v>
      </c>
      <c r="T46" s="459" t="s">
        <v>272</v>
      </c>
      <c r="U46" s="141">
        <v>9</v>
      </c>
      <c r="V46" s="459" t="s">
        <v>271</v>
      </c>
      <c r="W46" s="141">
        <v>3</v>
      </c>
      <c r="X46" s="459" t="s">
        <v>273</v>
      </c>
      <c r="Y46" s="459" t="s">
        <v>274</v>
      </c>
      <c r="Z46" s="459">
        <f t="shared" si="15"/>
        <v>10</v>
      </c>
      <c r="AA46" s="460" t="s">
        <v>275</v>
      </c>
      <c r="AB46" s="461">
        <f t="shared" si="16"/>
        <v>16042750</v>
      </c>
      <c r="AC46" s="462">
        <f>IFERROR(ROUNDDOWN(ROUNDDOWN(ROUND(L46*VLOOKUP(K46,【参考】数式用!$A$2:$M$57,MATCH("処遇改善加算Ⅳ",【参考】数式用!$G$3:$M$3,0)+6,0),0)*M46,0)*Z46*0.5,0), "")</f>
        <v>5150085</v>
      </c>
      <c r="AD46" s="156" t="s">
        <v>2596</v>
      </c>
      <c r="AE46" s="157" t="s">
        <v>2596</v>
      </c>
      <c r="AF46" s="157" t="s">
        <v>2596</v>
      </c>
      <c r="AG46" s="158">
        <v>1</v>
      </c>
      <c r="AH46" s="159"/>
      <c r="AI46" s="160" t="s">
        <v>628</v>
      </c>
      <c r="AJ46" s="161" t="s">
        <v>496</v>
      </c>
      <c r="AK46" s="545" t="str">
        <f t="shared" si="17"/>
        <v/>
      </c>
      <c r="AL46" s="546" t="str">
        <f t="shared" si="0"/>
        <v/>
      </c>
      <c r="AM46" s="547"/>
      <c r="AN46" s="548" t="str">
        <f>IFERROR(VLOOKUP(K46,【参考】数式用!$A$2:$N$57,14,FALSE),"")</f>
        <v>加算対象</v>
      </c>
      <c r="AO46" s="548" t="str">
        <f t="shared" si="1"/>
        <v>N列に色付け</v>
      </c>
      <c r="AP46" s="549" t="str">
        <f t="shared" si="18"/>
        <v>入力済</v>
      </c>
      <c r="AQ46" s="549" t="str">
        <f t="shared" si="19"/>
        <v>キャリアパス要件Ⅰ・Ⅱ_加算対象</v>
      </c>
      <c r="AR46" s="550" t="str">
        <f t="shared" si="20"/>
        <v>入力済</v>
      </c>
      <c r="AS46" s="548" t="str">
        <f t="shared" si="2"/>
        <v>AF列に色付け</v>
      </c>
      <c r="AT46" s="550" t="str">
        <f t="shared" si="3"/>
        <v>入力済</v>
      </c>
      <c r="AU46" s="550" t="str">
        <f t="shared" si="4"/>
        <v>対象</v>
      </c>
      <c r="AV46" s="550">
        <f t="shared" si="5"/>
        <v>1</v>
      </c>
      <c r="AW46" s="548" t="str">
        <f t="shared" si="6"/>
        <v/>
      </c>
      <c r="AX46" s="548" t="str">
        <f t="shared" si="7"/>
        <v>入力済</v>
      </c>
      <c r="AY46" s="550" t="str">
        <f>IFERROR(VLOOKUP(K46,【参考】数式用!$AR$3:$AS$49, 2, FALSE), "")</f>
        <v>短期入所生活介護Ⅴ</v>
      </c>
      <c r="AZ46" s="548" t="str">
        <f t="shared" si="8"/>
        <v>AI列に色付け</v>
      </c>
      <c r="BA46" s="551" t="str">
        <f t="shared" si="21"/>
        <v>入力済</v>
      </c>
      <c r="BB46" s="550" t="str">
        <f>IFERROR(VLOOKUP(K46,【参考】数式用!$AX$3:$AY$56, 2, FALSE), "")</f>
        <v>短期入所生活介護R8</v>
      </c>
      <c r="BC46" s="548" t="str">
        <f t="shared" si="9"/>
        <v>AJ列に色付け</v>
      </c>
      <c r="BD46" s="551" t="str">
        <f t="shared" si="38"/>
        <v>入力済</v>
      </c>
      <c r="BE46" s="551" t="str">
        <f t="shared" si="10"/>
        <v/>
      </c>
      <c r="BF46" s="551" t="str">
        <f t="shared" si="11"/>
        <v/>
      </c>
      <c r="BG46" s="551" t="str">
        <f t="shared" si="12"/>
        <v>入力必要</v>
      </c>
      <c r="BH46" s="551" t="str">
        <f t="shared" si="13"/>
        <v>入力済</v>
      </c>
      <c r="BI46" s="551" t="str">
        <f t="shared" si="14"/>
        <v>つくば市</v>
      </c>
    </row>
    <row r="47" spans="1:61" ht="109.95" customHeight="1" thickBot="1">
      <c r="A47" s="456">
        <v>36</v>
      </c>
      <c r="B47" s="724" t="str">
        <f>IF(基本情報入力シート!B75="","",基本情報入力シート!B75)</f>
        <v>0811111126</v>
      </c>
      <c r="C47" s="725"/>
      <c r="D47" s="725"/>
      <c r="E47" s="725"/>
      <c r="F47" s="726"/>
      <c r="G47" s="457" t="str">
        <f>IF(基本情報入力シート!L75="", "", 基本情報入力シート!L75)</f>
        <v>つくば市</v>
      </c>
      <c r="H47" s="457" t="str">
        <f>IF(基本情報入力シート!Q75="", "", 基本情報入力シート!Q75)</f>
        <v>茨城県</v>
      </c>
      <c r="I47" s="457" t="str">
        <f>IF(基本情報入力シート!V75="", "", 基本情報入力シート!V75)</f>
        <v>つくば市</v>
      </c>
      <c r="J47" s="457" t="str">
        <f>IF(基本情報入力シート!W75="", "", 基本情報入力シート!W75)</f>
        <v>ショートステイ　○○</v>
      </c>
      <c r="K47" s="457" t="str">
        <f>IF(基本情報入力シート!Z75="", "", 基本情報入力シート!Z75)</f>
        <v>介護予防短期入所生活介護</v>
      </c>
      <c r="L47" s="101">
        <f>IF(基本情報入力シート!AF75=0, "",基本情報入力シート!AF75)</f>
        <v>864000</v>
      </c>
      <c r="M47" s="142">
        <f>IF(AND(基本情報入力シート!AG75="",基本情報入力シート!AG75=""), "", 基本情報入力シート!AG75)</f>
        <v>10.55</v>
      </c>
      <c r="N47" s="136" t="s">
        <v>2599</v>
      </c>
      <c r="O47" s="155">
        <f>IFERROR(VLOOKUP(K47,【参考】数式用!$A$2:$M$57,MATCH(N47,【参考】数式用!$G$3:$M$3,0)+6,0),"")</f>
        <v>0.17599999999999999</v>
      </c>
      <c r="P47" s="458" t="s">
        <v>180</v>
      </c>
      <c r="Q47" s="141">
        <v>8</v>
      </c>
      <c r="R47" s="459" t="s">
        <v>271</v>
      </c>
      <c r="S47" s="141">
        <v>6</v>
      </c>
      <c r="T47" s="459" t="s">
        <v>272</v>
      </c>
      <c r="U47" s="141">
        <v>9</v>
      </c>
      <c r="V47" s="459" t="s">
        <v>271</v>
      </c>
      <c r="W47" s="141">
        <v>3</v>
      </c>
      <c r="X47" s="459" t="s">
        <v>273</v>
      </c>
      <c r="Y47" s="459" t="s">
        <v>274</v>
      </c>
      <c r="Z47" s="459">
        <f t="shared" si="15"/>
        <v>10</v>
      </c>
      <c r="AA47" s="460" t="s">
        <v>275</v>
      </c>
      <c r="AB47" s="461">
        <f t="shared" si="16"/>
        <v>16042750</v>
      </c>
      <c r="AC47" s="462">
        <f>IFERROR(ROUNDDOWN(ROUNDDOWN(ROUND(L47*VLOOKUP(K47,【参考】数式用!$A$2:$M$57,MATCH("処遇改善加算Ⅳ",【参考】数式用!$G$3:$M$3,0)+6,0),0)*M47,0)*Z47*0.5,0), "")</f>
        <v>5150085</v>
      </c>
      <c r="AD47" s="156" t="s">
        <v>2596</v>
      </c>
      <c r="AE47" s="157" t="s">
        <v>2596</v>
      </c>
      <c r="AF47" s="157" t="s">
        <v>2596</v>
      </c>
      <c r="AG47" s="158">
        <v>1</v>
      </c>
      <c r="AH47" s="159"/>
      <c r="AI47" s="160" t="s">
        <v>628</v>
      </c>
      <c r="AJ47" s="161" t="s">
        <v>496</v>
      </c>
      <c r="AK47" s="545" t="str">
        <f t="shared" si="17"/>
        <v/>
      </c>
      <c r="AL47" s="546" t="str">
        <f t="shared" si="0"/>
        <v/>
      </c>
      <c r="AM47" s="547"/>
      <c r="AN47" s="548" t="str">
        <f>IFERROR(VLOOKUP(K47,【参考】数式用!$A$2:$N$57,14,FALSE),"")</f>
        <v>加算対象</v>
      </c>
      <c r="AO47" s="548" t="str">
        <f t="shared" si="1"/>
        <v>N列に色付け</v>
      </c>
      <c r="AP47" s="549" t="str">
        <f t="shared" si="18"/>
        <v>入力済</v>
      </c>
      <c r="AQ47" s="549" t="str">
        <f t="shared" si="19"/>
        <v>キャリアパス要件Ⅰ・Ⅱ_加算対象</v>
      </c>
      <c r="AR47" s="550" t="str">
        <f t="shared" si="20"/>
        <v>入力済</v>
      </c>
      <c r="AS47" s="548" t="str">
        <f t="shared" si="2"/>
        <v>AF列に色付け</v>
      </c>
      <c r="AT47" s="550" t="str">
        <f t="shared" si="3"/>
        <v>入力済</v>
      </c>
      <c r="AU47" s="550" t="str">
        <f t="shared" si="4"/>
        <v>対象</v>
      </c>
      <c r="AV47" s="550">
        <f t="shared" si="5"/>
        <v>1</v>
      </c>
      <c r="AW47" s="548" t="str">
        <f t="shared" si="6"/>
        <v/>
      </c>
      <c r="AX47" s="548" t="str">
        <f t="shared" si="7"/>
        <v>入力済</v>
      </c>
      <c r="AY47" s="550" t="str">
        <f>IFERROR(VLOOKUP(K47,【参考】数式用!$AR$3:$AS$49, 2, FALSE), "")</f>
        <v>介護予防短期入所生活介護Ⅴ</v>
      </c>
      <c r="AZ47" s="548" t="str">
        <f t="shared" si="8"/>
        <v>AI列に色付け</v>
      </c>
      <c r="BA47" s="551" t="str">
        <f t="shared" si="21"/>
        <v>入力済</v>
      </c>
      <c r="BB47" s="550" t="str">
        <f>IFERROR(VLOOKUP(K47,【参考】数式用!$AX$3:$AY$56, 2, FALSE), "")</f>
        <v>介護予防短期入所生活介護R8</v>
      </c>
      <c r="BC47" s="548" t="str">
        <f t="shared" si="9"/>
        <v>AJ列に色付け</v>
      </c>
      <c r="BD47" s="551" t="str">
        <f t="shared" si="38"/>
        <v>入力済</v>
      </c>
      <c r="BE47" s="551" t="str">
        <f t="shared" si="10"/>
        <v/>
      </c>
      <c r="BF47" s="551" t="str">
        <f t="shared" si="11"/>
        <v/>
      </c>
      <c r="BG47" s="551" t="str">
        <f t="shared" si="12"/>
        <v>入力必要</v>
      </c>
      <c r="BH47" s="551" t="str">
        <f t="shared" si="13"/>
        <v>入力済</v>
      </c>
      <c r="BI47" s="551" t="str">
        <f t="shared" si="14"/>
        <v>つくば市</v>
      </c>
    </row>
    <row r="48" spans="1:61" ht="109.95" customHeight="1" thickBot="1">
      <c r="A48" s="456">
        <v>37</v>
      </c>
      <c r="B48" s="724" t="str">
        <f>IF(基本情報入力シート!B76="","",基本情報入力シート!B76)</f>
        <v>0811111127</v>
      </c>
      <c r="C48" s="725"/>
      <c r="D48" s="725"/>
      <c r="E48" s="725"/>
      <c r="F48" s="726"/>
      <c r="G48" s="457" t="str">
        <f>IF(基本情報入力シート!L76="", "", 基本情報入力シート!L76)</f>
        <v>茨城県</v>
      </c>
      <c r="H48" s="457" t="str">
        <f>IF(基本情報入力シート!Q76="", "", 基本情報入力シート!Q76)</f>
        <v>茨城県</v>
      </c>
      <c r="I48" s="457" t="str">
        <f>IF(基本情報入力シート!V76="", "", 基本情報入力シート!V76)</f>
        <v>ひたちなか市</v>
      </c>
      <c r="J48" s="457" t="str">
        <f>IF(基本情報入力シート!W76="", "", 基本情報入力シート!W76)</f>
        <v>介護老人保健施設　○○</v>
      </c>
      <c r="K48" s="457" t="str">
        <f>IF(基本情報入力シート!Z76="", "", 基本情報入力シート!Z76)</f>
        <v>介護老人保健施設</v>
      </c>
      <c r="L48" s="101">
        <f>IF(基本情報入力シート!AF76=0, "",基本情報入力シート!AF76)</f>
        <v>929000</v>
      </c>
      <c r="M48" s="142">
        <f>IF(AND(基本情報入力シート!AG76="",基本情報入力シート!AG76=""), "", 基本情報入力シート!AG76)</f>
        <v>10.14</v>
      </c>
      <c r="N48" s="136" t="s">
        <v>2598</v>
      </c>
      <c r="O48" s="155">
        <f>IFERROR(VLOOKUP(K48,【参考】数式用!$A$2:$M$57,MATCH(N48,【参考】数式用!$G$3:$M$3,0)+6,0),"")</f>
        <v>0.09</v>
      </c>
      <c r="P48" s="458" t="s">
        <v>180</v>
      </c>
      <c r="Q48" s="141">
        <v>8</v>
      </c>
      <c r="R48" s="459" t="s">
        <v>271</v>
      </c>
      <c r="S48" s="141">
        <v>6</v>
      </c>
      <c r="T48" s="459" t="s">
        <v>272</v>
      </c>
      <c r="U48" s="141">
        <v>9</v>
      </c>
      <c r="V48" s="459" t="s">
        <v>271</v>
      </c>
      <c r="W48" s="141">
        <v>3</v>
      </c>
      <c r="X48" s="459" t="s">
        <v>182</v>
      </c>
      <c r="Y48" s="459" t="s">
        <v>274</v>
      </c>
      <c r="Z48" s="459">
        <f t="shared" si="15"/>
        <v>10</v>
      </c>
      <c r="AA48" s="460" t="s">
        <v>275</v>
      </c>
      <c r="AB48" s="461">
        <f t="shared" si="16"/>
        <v>8478050</v>
      </c>
      <c r="AC48" s="462">
        <f>IFERROR(ROUNDDOWN(ROUNDDOWN(ROUND(L48*VLOOKUP(K48,【参考】数式用!$A$2:$M$57,MATCH("処遇改善加算Ⅳ",【参考】数式用!$G$3:$M$3,0)+6,0),0)*M48,0)*Z48*0.5,0), "")</f>
        <v>2778915</v>
      </c>
      <c r="AD48" s="156" t="s">
        <v>2596</v>
      </c>
      <c r="AE48" s="157" t="s">
        <v>2596</v>
      </c>
      <c r="AF48" s="157" t="s">
        <v>2596</v>
      </c>
      <c r="AG48" s="158">
        <v>1</v>
      </c>
      <c r="AH48" s="159"/>
      <c r="AI48" s="160" t="s">
        <v>402</v>
      </c>
      <c r="AJ48" s="161"/>
      <c r="AK48" s="545" t="str">
        <f t="shared" si="17"/>
        <v/>
      </c>
      <c r="AL48" s="546" t="str">
        <f t="shared" si="0"/>
        <v/>
      </c>
      <c r="AM48" s="547"/>
      <c r="AN48" s="548" t="str">
        <f>IFERROR(VLOOKUP(K48,【参考】数式用!$A$2:$N$57,14,FALSE),"")</f>
        <v>加算対象</v>
      </c>
      <c r="AO48" s="548" t="str">
        <f t="shared" si="1"/>
        <v>N列に色付け</v>
      </c>
      <c r="AP48" s="549" t="str">
        <f t="shared" si="18"/>
        <v>入力済</v>
      </c>
      <c r="AQ48" s="549" t="str">
        <f t="shared" si="19"/>
        <v>キャリアパス要件Ⅰ・Ⅱ_加算対象</v>
      </c>
      <c r="AR48" s="550" t="str">
        <f t="shared" si="20"/>
        <v>入力済</v>
      </c>
      <c r="AS48" s="548" t="str">
        <f t="shared" si="2"/>
        <v>AF列に色付け</v>
      </c>
      <c r="AT48" s="550" t="str">
        <f t="shared" si="3"/>
        <v>入力済</v>
      </c>
      <c r="AU48" s="550" t="str">
        <f t="shared" si="4"/>
        <v>対象</v>
      </c>
      <c r="AV48" s="550">
        <f t="shared" si="5"/>
        <v>1</v>
      </c>
      <c r="AW48" s="548" t="str">
        <f t="shared" si="6"/>
        <v/>
      </c>
      <c r="AX48" s="548" t="str">
        <f t="shared" si="7"/>
        <v>入力済</v>
      </c>
      <c r="AY48" s="550" t="str">
        <f>IFERROR(VLOOKUP(K48,【参考】数式用!$AR$3:$AS$49, 2, FALSE), "")</f>
        <v>介護老人保健施設サービスⅤ</v>
      </c>
      <c r="AZ48" s="548" t="str">
        <f t="shared" si="8"/>
        <v>AI列に色付け</v>
      </c>
      <c r="BA48" s="551" t="str">
        <f t="shared" si="21"/>
        <v>入力済</v>
      </c>
      <c r="BB48" s="550" t="str">
        <f>IFERROR(VLOOKUP(K48,【参考】数式用!$AX$3:$AY$56, 2, FALSE), "")</f>
        <v>介護老人保健施設サービスR8</v>
      </c>
      <c r="BC48" s="548" t="str">
        <f t="shared" si="9"/>
        <v/>
      </c>
      <c r="BD48" s="551" t="str">
        <f t="shared" si="38"/>
        <v>入力済</v>
      </c>
      <c r="BE48" s="551" t="str">
        <f t="shared" si="10"/>
        <v/>
      </c>
      <c r="BF48" s="551" t="str">
        <f t="shared" si="11"/>
        <v/>
      </c>
      <c r="BG48" s="551" t="str">
        <f t="shared" si="12"/>
        <v/>
      </c>
      <c r="BH48" s="551" t="str">
        <f t="shared" si="13"/>
        <v/>
      </c>
      <c r="BI48" s="551" t="str">
        <f t="shared" si="14"/>
        <v>茨城県</v>
      </c>
    </row>
    <row r="49" spans="1:61" ht="109.95" customHeight="1" thickBot="1">
      <c r="A49" s="456">
        <v>38</v>
      </c>
      <c r="B49" s="724" t="str">
        <f>IF(基本情報入力シート!B77="","",基本情報入力シート!B77)</f>
        <v>0811111127</v>
      </c>
      <c r="C49" s="725"/>
      <c r="D49" s="725"/>
      <c r="E49" s="725"/>
      <c r="F49" s="726"/>
      <c r="G49" s="457" t="str">
        <f>IF(基本情報入力シート!L77="", "", 基本情報入力シート!L77)</f>
        <v>茨城県</v>
      </c>
      <c r="H49" s="457" t="str">
        <f>IF(基本情報入力シート!Q77="", "", 基本情報入力シート!Q77)</f>
        <v>茨城県</v>
      </c>
      <c r="I49" s="457" t="str">
        <f>IF(基本情報入力シート!V77="", "", 基本情報入力シート!V77)</f>
        <v>ひたちなか市</v>
      </c>
      <c r="J49" s="457" t="str">
        <f>IF(基本情報入力シート!W77="", "", 基本情報入力シート!W77)</f>
        <v>介護老人保健施設　○○</v>
      </c>
      <c r="K49" s="457" t="str">
        <f>IF(基本情報入力シート!Z77="", "", 基本情報入力シート!Z77)</f>
        <v>短期入所療養介護（老健）</v>
      </c>
      <c r="L49" s="101">
        <f>IF(基本情報入力シート!AF77=0, "",基本情報入力シート!AF77)</f>
        <v>929000</v>
      </c>
      <c r="M49" s="142">
        <f>IF(AND(基本情報入力シート!AG77="",基本情報入力シート!AG77=""), "", 基本情報入力シート!AG77)</f>
        <v>10.14</v>
      </c>
      <c r="N49" s="136" t="s">
        <v>2598</v>
      </c>
      <c r="O49" s="155">
        <f>IFERROR(VLOOKUP(K49,【参考】数式用!$A$2:$M$57,MATCH(N49,【参考】数式用!$G$3:$M$3,0)+6,0),"")</f>
        <v>0.09</v>
      </c>
      <c r="P49" s="458" t="s">
        <v>180</v>
      </c>
      <c r="Q49" s="141">
        <v>8</v>
      </c>
      <c r="R49" s="459" t="s">
        <v>271</v>
      </c>
      <c r="S49" s="141">
        <v>6</v>
      </c>
      <c r="T49" s="459" t="s">
        <v>272</v>
      </c>
      <c r="U49" s="141">
        <v>9</v>
      </c>
      <c r="V49" s="459" t="s">
        <v>271</v>
      </c>
      <c r="W49" s="141">
        <v>3</v>
      </c>
      <c r="X49" s="459" t="s">
        <v>273</v>
      </c>
      <c r="Y49" s="459" t="s">
        <v>274</v>
      </c>
      <c r="Z49" s="459">
        <f t="shared" si="15"/>
        <v>10</v>
      </c>
      <c r="AA49" s="460" t="s">
        <v>275</v>
      </c>
      <c r="AB49" s="461">
        <f t="shared" si="16"/>
        <v>8478050</v>
      </c>
      <c r="AC49" s="462">
        <f>IFERROR(ROUNDDOWN(ROUNDDOWN(ROUND(L49*VLOOKUP(K49,【参考】数式用!$A$2:$M$57,MATCH("処遇改善加算Ⅳ",【参考】数式用!$G$3:$M$3,0)+6,0),0)*M49,0)*Z49*0.5,0), "")</f>
        <v>2778915</v>
      </c>
      <c r="AD49" s="156" t="s">
        <v>2596</v>
      </c>
      <c r="AE49" s="157" t="s">
        <v>2596</v>
      </c>
      <c r="AF49" s="157" t="s">
        <v>2596</v>
      </c>
      <c r="AG49" s="158">
        <v>1</v>
      </c>
      <c r="AH49" s="159"/>
      <c r="AI49" s="160" t="s">
        <v>657</v>
      </c>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加算対象</v>
      </c>
      <c r="AO49" s="548" t="str">
        <f t="shared" si="1"/>
        <v>N列に色付け</v>
      </c>
      <c r="AP49" s="549" t="str">
        <f t="shared" si="18"/>
        <v>入力済</v>
      </c>
      <c r="AQ49" s="549" t="str">
        <f t="shared" si="19"/>
        <v>キャリアパス要件Ⅰ・Ⅱ_加算対象</v>
      </c>
      <c r="AR49" s="550" t="str">
        <f t="shared" si="20"/>
        <v>入力済</v>
      </c>
      <c r="AS49" s="548" t="str">
        <f t="shared" si="2"/>
        <v>AF列に色付け</v>
      </c>
      <c r="AT49" s="550" t="str">
        <f t="shared" si="3"/>
        <v>入力済</v>
      </c>
      <c r="AU49" s="550" t="str">
        <f t="shared" si="4"/>
        <v>対象</v>
      </c>
      <c r="AV49" s="550">
        <f t="shared" si="5"/>
        <v>1</v>
      </c>
      <c r="AW49" s="548" t="str">
        <f t="shared" si="6"/>
        <v/>
      </c>
      <c r="AX49" s="548" t="str">
        <f t="shared" si="7"/>
        <v>入力済</v>
      </c>
      <c r="AY49" s="550" t="str">
        <f>IFERROR(VLOOKUP(K49,【参考】数式用!$AR$3:$AS$49, 2, FALSE), "")</f>
        <v>短期入所療養介護_介護老人保健施設_Ⅴ</v>
      </c>
      <c r="AZ49" s="548" t="str">
        <f t="shared" si="8"/>
        <v>AI列に色付け</v>
      </c>
      <c r="BA49" s="551" t="str">
        <f>IF(AND(OR(N49="処遇改善加算Ⅰイ",N49="処遇改善加算Ⅰロ"), AI49=""), "未入力","入力済")</f>
        <v>入力済</v>
      </c>
      <c r="BB49" s="550" t="str">
        <f>IFERROR(VLOOKUP(K49,【参考】数式用!$AX$3:$AY$56, 2, FALSE), "")</f>
        <v>短期入所療養介護_介護老人保健施設_R8</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茨城県</v>
      </c>
    </row>
    <row r="50" spans="1:61" ht="109.95" customHeight="1" thickBot="1">
      <c r="A50" s="456">
        <v>39</v>
      </c>
      <c r="B50" s="724" t="str">
        <f>IF(基本情報入力シート!B78="","",基本情報入力シート!B78)</f>
        <v>0811111127</v>
      </c>
      <c r="C50" s="725"/>
      <c r="D50" s="725"/>
      <c r="E50" s="725"/>
      <c r="F50" s="726"/>
      <c r="G50" s="457" t="str">
        <f>IF(基本情報入力シート!L78="", "", 基本情報入力シート!L78)</f>
        <v>茨城県</v>
      </c>
      <c r="H50" s="457" t="str">
        <f>IF(基本情報入力シート!Q78="", "", 基本情報入力シート!Q78)</f>
        <v>茨城県</v>
      </c>
      <c r="I50" s="457" t="str">
        <f>IF(基本情報入力シート!V78="", "", 基本情報入力シート!V78)</f>
        <v>ひたちなか市</v>
      </c>
      <c r="J50" s="457" t="str">
        <f>IF(基本情報入力シート!W78="", "", 基本情報入力シート!W78)</f>
        <v>介護老人保健施設　○○</v>
      </c>
      <c r="K50" s="457" t="str">
        <f>IF(基本情報入力シート!Z78="", "", 基本情報入力シート!Z78)</f>
        <v>介護予防短期入所療養介護（老健）</v>
      </c>
      <c r="L50" s="101">
        <f>IF(基本情報入力シート!AF78=0, "",基本情報入力シート!AF78)</f>
        <v>929000</v>
      </c>
      <c r="M50" s="142">
        <f>IF(AND(基本情報入力シート!AG78="",基本情報入力シート!AG78=""), "", 基本情報入力シート!AG78)</f>
        <v>10.14</v>
      </c>
      <c r="N50" s="136" t="s">
        <v>2598</v>
      </c>
      <c r="O50" s="155">
        <f>IFERROR(VLOOKUP(K50,【参考】数式用!$A$2:$M$57,MATCH(N50,【参考】数式用!$G$3:$M$3,0)+6,0),"")</f>
        <v>0.09</v>
      </c>
      <c r="P50" s="458" t="s">
        <v>180</v>
      </c>
      <c r="Q50" s="141">
        <v>8</v>
      </c>
      <c r="R50" s="459" t="s">
        <v>271</v>
      </c>
      <c r="S50" s="141">
        <v>6</v>
      </c>
      <c r="T50" s="459" t="s">
        <v>272</v>
      </c>
      <c r="U50" s="141">
        <v>9</v>
      </c>
      <c r="V50" s="459" t="s">
        <v>271</v>
      </c>
      <c r="W50" s="141">
        <v>3</v>
      </c>
      <c r="X50" s="459" t="s">
        <v>273</v>
      </c>
      <c r="Y50" s="459" t="s">
        <v>274</v>
      </c>
      <c r="Z50" s="459">
        <f t="shared" si="15"/>
        <v>10</v>
      </c>
      <c r="AA50" s="460" t="s">
        <v>275</v>
      </c>
      <c r="AB50" s="461">
        <f t="shared" si="16"/>
        <v>8478050</v>
      </c>
      <c r="AC50" s="462">
        <f>IFERROR(ROUNDDOWN(ROUNDDOWN(ROUND(L50*VLOOKUP(K50,【参考】数式用!$A$2:$M$57,MATCH("処遇改善加算Ⅳ",【参考】数式用!$G$3:$M$3,0)+6,0),0)*M50,0)*Z50*0.5,0), "")</f>
        <v>2778915</v>
      </c>
      <c r="AD50" s="156" t="s">
        <v>2596</v>
      </c>
      <c r="AE50" s="157" t="s">
        <v>2596</v>
      </c>
      <c r="AF50" s="157" t="s">
        <v>2596</v>
      </c>
      <c r="AG50" s="158">
        <v>1</v>
      </c>
      <c r="AH50" s="159"/>
      <c r="AI50" s="160" t="s">
        <v>657</v>
      </c>
      <c r="AJ50" s="161"/>
      <c r="AK50" s="545" t="str">
        <f t="shared" si="17"/>
        <v/>
      </c>
      <c r="AL50" s="546" t="str">
        <f t="shared" si="0"/>
        <v/>
      </c>
      <c r="AM50" s="547"/>
      <c r="AN50" s="548" t="str">
        <f>IFERROR(VLOOKUP(K50,【参考】数式用!$A$2:$N$57,14,FALSE),"")</f>
        <v>加算対象</v>
      </c>
      <c r="AO50" s="548" t="str">
        <f t="shared" si="1"/>
        <v>N列に色付け</v>
      </c>
      <c r="AP50" s="549" t="str">
        <f t="shared" si="18"/>
        <v>入力済</v>
      </c>
      <c r="AQ50" s="549" t="str">
        <f t="shared" si="19"/>
        <v>キャリアパス要件Ⅰ・Ⅱ_加算対象</v>
      </c>
      <c r="AR50" s="550" t="str">
        <f t="shared" si="20"/>
        <v>入力済</v>
      </c>
      <c r="AS50" s="548" t="str">
        <f t="shared" si="2"/>
        <v>AF列に色付け</v>
      </c>
      <c r="AT50" s="550" t="str">
        <f t="shared" si="3"/>
        <v>入力済</v>
      </c>
      <c r="AU50" s="550" t="str">
        <f t="shared" si="4"/>
        <v>対象</v>
      </c>
      <c r="AV50" s="550">
        <f t="shared" si="5"/>
        <v>1</v>
      </c>
      <c r="AW50" s="548" t="str">
        <f t="shared" si="6"/>
        <v/>
      </c>
      <c r="AX50" s="548" t="str">
        <f t="shared" si="7"/>
        <v>入力済</v>
      </c>
      <c r="AY50" s="550" t="str">
        <f>IFERROR(VLOOKUP(K50,【参考】数式用!$AR$3:$AS$49, 2, FALSE), "")</f>
        <v>介護予防短期入所療養介護_介護老人保健施設_Ⅴ</v>
      </c>
      <c r="AZ50" s="548" t="str">
        <f t="shared" si="8"/>
        <v>AI列に色付け</v>
      </c>
      <c r="BA50" s="551" t="str">
        <f t="shared" si="21"/>
        <v>入力済</v>
      </c>
      <c r="BB50" s="550" t="str">
        <f>IFERROR(VLOOKUP(K50,【参考】数式用!$AX$3:$AY$56, 2, FALSE), "")</f>
        <v>介護予防短期入所療養介護_介護老人保健施設_R8</v>
      </c>
      <c r="BC50" s="548" t="str">
        <f t="shared" si="9"/>
        <v/>
      </c>
      <c r="BD50" s="551" t="str">
        <f t="shared" si="38"/>
        <v>入力済</v>
      </c>
      <c r="BE50" s="551" t="str">
        <f t="shared" si="10"/>
        <v/>
      </c>
      <c r="BF50" s="551" t="str">
        <f t="shared" si="11"/>
        <v/>
      </c>
      <c r="BG50" s="551" t="str">
        <f t="shared" si="12"/>
        <v/>
      </c>
      <c r="BH50" s="551" t="str">
        <f t="shared" si="13"/>
        <v/>
      </c>
      <c r="BI50" s="551" t="str">
        <f t="shared" si="14"/>
        <v>茨城県</v>
      </c>
    </row>
    <row r="51" spans="1:61" ht="109.95" customHeight="1" thickBot="1">
      <c r="A51" s="456">
        <v>40</v>
      </c>
      <c r="B51" s="724" t="str">
        <f>IF(基本情報入力シート!B79="","",基本情報入力シート!B79)</f>
        <v>0811111128</v>
      </c>
      <c r="C51" s="725"/>
      <c r="D51" s="725"/>
      <c r="E51" s="725"/>
      <c r="F51" s="726"/>
      <c r="G51" s="457" t="str">
        <f>IF(基本情報入力シート!L79="", "", 基本情報入力シート!L79)</f>
        <v>茨城県</v>
      </c>
      <c r="H51" s="457" t="str">
        <f>IF(基本情報入力シート!Q79="", "", 基本情報入力シート!Q79)</f>
        <v>茨城県</v>
      </c>
      <c r="I51" s="457" t="str">
        <f>IF(基本情報入力シート!V79="", "", 基本情報入力シート!V79)</f>
        <v>鹿嶋市</v>
      </c>
      <c r="J51" s="457" t="str">
        <f>IF(基本情報入力シート!W79="", "", 基本情報入力シート!W79)</f>
        <v>○○病院</v>
      </c>
      <c r="K51" s="457" t="str">
        <f>IF(基本情報入力シート!Z79="", "", 基本情報入力シート!Z79)</f>
        <v>短期入所療養介護 （病院等)</v>
      </c>
      <c r="L51" s="101">
        <f>IF(基本情報入力シート!AF79=0, "",基本情報入力シート!AF79)</f>
        <v>953000</v>
      </c>
      <c r="M51" s="142">
        <f>IF(AND(基本情報入力シート!AG79="",基本情報入力シート!AG79=""), "", 基本情報入力シート!AG79)</f>
        <v>10</v>
      </c>
      <c r="N51" s="136" t="s">
        <v>370</v>
      </c>
      <c r="O51" s="155">
        <f>IFERROR(VLOOKUP(K51,【参考】数式用!$A$2:$M$57,MATCH(N51,【参考】数式用!$G$3:$M$3,0)+6,0),"")</f>
        <v>0.04</v>
      </c>
      <c r="P51" s="458" t="s">
        <v>180</v>
      </c>
      <c r="Q51" s="141">
        <v>8</v>
      </c>
      <c r="R51" s="459" t="s">
        <v>271</v>
      </c>
      <c r="S51" s="141">
        <v>6</v>
      </c>
      <c r="T51" s="459" t="s">
        <v>272</v>
      </c>
      <c r="U51" s="141">
        <v>9</v>
      </c>
      <c r="V51" s="459" t="s">
        <v>271</v>
      </c>
      <c r="W51" s="141">
        <v>3</v>
      </c>
      <c r="X51" s="459" t="s">
        <v>273</v>
      </c>
      <c r="Y51" s="459" t="s">
        <v>274</v>
      </c>
      <c r="Z51" s="459">
        <f t="shared" si="15"/>
        <v>10</v>
      </c>
      <c r="AA51" s="460" t="s">
        <v>275</v>
      </c>
      <c r="AB51" s="461">
        <f t="shared" si="16"/>
        <v>3812000</v>
      </c>
      <c r="AC51" s="462">
        <f>IFERROR(ROUNDDOWN(ROUNDDOWN(ROUND(L51*VLOOKUP(K51,【参考】数式用!$A$2:$M$57,MATCH("処遇改善加算Ⅳ",【参考】数式用!$G$3:$M$3,0)+6,0),0)*M51,0)*Z51*0.5,0), "")</f>
        <v>1906000</v>
      </c>
      <c r="AD51" s="156" t="s">
        <v>2596</v>
      </c>
      <c r="AE51" s="157" t="s">
        <v>430</v>
      </c>
      <c r="AF51" s="157"/>
      <c r="AG51" s="158"/>
      <c r="AH51" s="159"/>
      <c r="AI51" s="160"/>
      <c r="AJ51" s="161" t="s">
        <v>405</v>
      </c>
      <c r="AK51" s="545" t="str">
        <f t="shared" si="17"/>
        <v/>
      </c>
      <c r="AL51" s="546" t="str">
        <f t="shared" si="0"/>
        <v/>
      </c>
      <c r="AM51" s="547"/>
      <c r="AN51" s="548" t="str">
        <f>IFERROR(VLOOKUP(K51,【参考】数式用!$A$2:$N$57,14,FALSE),"")</f>
        <v>加算対象</v>
      </c>
      <c r="AO51" s="548" t="str">
        <f t="shared" si="1"/>
        <v>N列に色付け</v>
      </c>
      <c r="AP51" s="549" t="str">
        <f t="shared" si="18"/>
        <v>入力済</v>
      </c>
      <c r="AQ51" s="549" t="str">
        <f t="shared" si="19"/>
        <v>キャリアパス要件Ⅰ・Ⅱ_加算対象</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短期入所療養介護_病院等_老健以外__Ⅴ</v>
      </c>
      <c r="AZ51" s="548" t="str">
        <f t="shared" si="8"/>
        <v/>
      </c>
      <c r="BA51" s="551" t="str">
        <f t="shared" si="21"/>
        <v>入力済</v>
      </c>
      <c r="BB51" s="550" t="str">
        <f>IFERROR(VLOOKUP(K51,【参考】数式用!$AX$3:$AY$56, 2, FALSE), "")</f>
        <v>短期入所療養介護_病院等_老健以外__R8</v>
      </c>
      <c r="BC51" s="548" t="str">
        <f t="shared" si="9"/>
        <v>AJ列に色付け</v>
      </c>
      <c r="BD51" s="551" t="str">
        <f t="shared" si="38"/>
        <v>入力済</v>
      </c>
      <c r="BE51" s="551" t="str">
        <f t="shared" si="10"/>
        <v/>
      </c>
      <c r="BF51" s="551" t="str">
        <f t="shared" si="11"/>
        <v/>
      </c>
      <c r="BG51" s="551" t="str">
        <f t="shared" si="12"/>
        <v>入力必要</v>
      </c>
      <c r="BH51" s="551" t="str">
        <f t="shared" si="13"/>
        <v>入力済</v>
      </c>
      <c r="BI51" s="551" t="str">
        <f t="shared" si="14"/>
        <v>茨城県</v>
      </c>
    </row>
    <row r="52" spans="1:61" ht="109.95" customHeight="1" thickBot="1">
      <c r="A52" s="456">
        <v>41</v>
      </c>
      <c r="B52" s="724" t="str">
        <f>IF(基本情報入力シート!B80="","",基本情報入力シート!B80)</f>
        <v>0811111128</v>
      </c>
      <c r="C52" s="725"/>
      <c r="D52" s="725"/>
      <c r="E52" s="725"/>
      <c r="F52" s="726"/>
      <c r="G52" s="457" t="str">
        <f>IF(基本情報入力シート!L80="", "", 基本情報入力シート!L80)</f>
        <v>茨城県</v>
      </c>
      <c r="H52" s="457" t="str">
        <f>IF(基本情報入力シート!Q80="", "", 基本情報入力シート!Q80)</f>
        <v>茨城県</v>
      </c>
      <c r="I52" s="457" t="str">
        <f>IF(基本情報入力シート!V80="", "", 基本情報入力シート!V80)</f>
        <v>鹿嶋市</v>
      </c>
      <c r="J52" s="457" t="str">
        <f>IF(基本情報入力シート!W80="", "", 基本情報入力シート!W80)</f>
        <v>○○病院</v>
      </c>
      <c r="K52" s="457" t="str">
        <f>IF(基本情報入力シート!Z80="", "", 基本情報入力シート!Z80)</f>
        <v>介護予防短期入所療養介護 （病院等)</v>
      </c>
      <c r="L52" s="101">
        <f>IF(基本情報入力シート!AF80=0, "",基本情報入力シート!AF80)</f>
        <v>953000</v>
      </c>
      <c r="M52" s="142">
        <f>IF(AND(基本情報入力シート!AG80="",基本情報入力シート!AG80=""), "", 基本情報入力シート!AG80)</f>
        <v>10</v>
      </c>
      <c r="N52" s="136" t="s">
        <v>370</v>
      </c>
      <c r="O52" s="155">
        <f>IFERROR(VLOOKUP(K52,【参考】数式用!$A$2:$M$57,MATCH(N52,【参考】数式用!$G$3:$M$3,0)+6,0),"")</f>
        <v>0.04</v>
      </c>
      <c r="P52" s="458" t="s">
        <v>180</v>
      </c>
      <c r="Q52" s="141">
        <v>8</v>
      </c>
      <c r="R52" s="459" t="s">
        <v>271</v>
      </c>
      <c r="S52" s="141">
        <v>6</v>
      </c>
      <c r="T52" s="459" t="s">
        <v>272</v>
      </c>
      <c r="U52" s="141">
        <v>9</v>
      </c>
      <c r="V52" s="459" t="s">
        <v>271</v>
      </c>
      <c r="W52" s="141">
        <v>3</v>
      </c>
      <c r="X52" s="459" t="s">
        <v>182</v>
      </c>
      <c r="Y52" s="459" t="s">
        <v>274</v>
      </c>
      <c r="Z52" s="459">
        <f t="shared" si="15"/>
        <v>10</v>
      </c>
      <c r="AA52" s="460" t="s">
        <v>275</v>
      </c>
      <c r="AB52" s="461">
        <f t="shared" si="16"/>
        <v>3812000</v>
      </c>
      <c r="AC52" s="462">
        <f>IFERROR(ROUNDDOWN(ROUNDDOWN(ROUND(L52*VLOOKUP(K52,【参考】数式用!$A$2:$M$57,MATCH("処遇改善加算Ⅳ",【参考】数式用!$G$3:$M$3,0)+6,0),0)*M52,0)*Z52*0.5,0), "")</f>
        <v>1906000</v>
      </c>
      <c r="AD52" s="156" t="s">
        <v>2596</v>
      </c>
      <c r="AE52" s="157" t="s">
        <v>430</v>
      </c>
      <c r="AF52" s="157"/>
      <c r="AG52" s="158"/>
      <c r="AH52" s="159"/>
      <c r="AI52" s="160"/>
      <c r="AJ52" s="161" t="s">
        <v>405</v>
      </c>
      <c r="AK52" s="545" t="str">
        <f t="shared" si="17"/>
        <v/>
      </c>
      <c r="AL52" s="546" t="str">
        <f t="shared" si="0"/>
        <v/>
      </c>
      <c r="AM52" s="547"/>
      <c r="AN52" s="548" t="str">
        <f>IFERROR(VLOOKUP(K52,【参考】数式用!$A$2:$N$57,14,FALSE),"")</f>
        <v>加算対象</v>
      </c>
      <c r="AO52" s="548" t="str">
        <f t="shared" si="1"/>
        <v>N列に色付け</v>
      </c>
      <c r="AP52" s="549" t="str">
        <f t="shared" si="18"/>
        <v>入力済</v>
      </c>
      <c r="AQ52" s="549" t="str">
        <f t="shared" si="19"/>
        <v>キャリアパス要件Ⅰ・Ⅱ_加算対象</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介護予防短期入所療養介護_病院等_老健以外__Ⅴ</v>
      </c>
      <c r="AZ52" s="548" t="str">
        <f t="shared" si="8"/>
        <v/>
      </c>
      <c r="BA52" s="551" t="str">
        <f t="shared" si="21"/>
        <v>入力済</v>
      </c>
      <c r="BB52" s="550" t="str">
        <f>IFERROR(VLOOKUP(K52,【参考】数式用!$AX$3:$AY$56, 2, FALSE), "")</f>
        <v>介護予防短期入所療養介護_病院等_老健以外__R8</v>
      </c>
      <c r="BC52" s="548" t="str">
        <f t="shared" si="9"/>
        <v>AJ列に色付け</v>
      </c>
      <c r="BD52" s="551" t="str">
        <f t="shared" si="38"/>
        <v>入力済</v>
      </c>
      <c r="BE52" s="551" t="str">
        <f t="shared" si="10"/>
        <v/>
      </c>
      <c r="BF52" s="551" t="str">
        <f t="shared" si="11"/>
        <v/>
      </c>
      <c r="BG52" s="551" t="str">
        <f t="shared" si="12"/>
        <v>入力必要</v>
      </c>
      <c r="BH52" s="551" t="str">
        <f t="shared" si="13"/>
        <v>入力済</v>
      </c>
      <c r="BI52" s="551" t="str">
        <f t="shared" si="14"/>
        <v>茨城県</v>
      </c>
    </row>
    <row r="53" spans="1:61" ht="109.95" customHeight="1" thickBot="1">
      <c r="A53" s="456">
        <v>42</v>
      </c>
      <c r="B53" s="724" t="str">
        <f>IF(基本情報入力シート!B81="","",基本情報入力シート!B81)</f>
        <v>0811111129</v>
      </c>
      <c r="C53" s="725"/>
      <c r="D53" s="725"/>
      <c r="E53" s="725"/>
      <c r="F53" s="726"/>
      <c r="G53" s="457" t="str">
        <f>IF(基本情報入力シート!L81="", "", 基本情報入力シート!L81)</f>
        <v>茨城県</v>
      </c>
      <c r="H53" s="457" t="str">
        <f>IF(基本情報入力シート!Q81="", "", 基本情報入力シート!Q81)</f>
        <v>茨城県</v>
      </c>
      <c r="I53" s="457" t="str">
        <f>IF(基本情報入力シート!V81="", "", 基本情報入力シート!V81)</f>
        <v>潮来市</v>
      </c>
      <c r="J53" s="457" t="str">
        <f>IF(基本情報入力シート!W81="", "", 基本情報入力シート!W81)</f>
        <v>介護医療院　○○</v>
      </c>
      <c r="K53" s="457" t="str">
        <f>IF(基本情報入力シート!Z81="", "", 基本情報入力シート!Z81)</f>
        <v>介護医療院</v>
      </c>
      <c r="L53" s="101">
        <f>IF(基本情報入力シート!AF81=0, "",基本情報入力シート!AF81)</f>
        <v>953000</v>
      </c>
      <c r="M53" s="142">
        <f>IF(AND(基本情報入力シート!AG81="",基本情報入力シート!AG81=""), "", 基本情報入力シート!AG81)</f>
        <v>10</v>
      </c>
      <c r="N53" s="136" t="s">
        <v>370</v>
      </c>
      <c r="O53" s="155">
        <f>IFERROR(VLOOKUP(K53,【参考】数式用!$A$2:$M$57,MATCH(N53,【参考】数式用!$G$3:$M$3,0)+6,0),"")</f>
        <v>0.04</v>
      </c>
      <c r="P53" s="458" t="s">
        <v>180</v>
      </c>
      <c r="Q53" s="141">
        <v>8</v>
      </c>
      <c r="R53" s="459" t="s">
        <v>271</v>
      </c>
      <c r="S53" s="141">
        <v>6</v>
      </c>
      <c r="T53" s="459" t="s">
        <v>272</v>
      </c>
      <c r="U53" s="141">
        <v>9</v>
      </c>
      <c r="V53" s="459" t="s">
        <v>271</v>
      </c>
      <c r="W53" s="141">
        <v>3</v>
      </c>
      <c r="X53" s="459" t="s">
        <v>182</v>
      </c>
      <c r="Y53" s="459" t="s">
        <v>274</v>
      </c>
      <c r="Z53" s="459">
        <f t="shared" si="15"/>
        <v>10</v>
      </c>
      <c r="AA53" s="460" t="s">
        <v>275</v>
      </c>
      <c r="AB53" s="461">
        <f t="shared" si="16"/>
        <v>3812000</v>
      </c>
      <c r="AC53" s="462">
        <f>IFERROR(ROUNDDOWN(ROUNDDOWN(ROUND(L53*VLOOKUP(K53,【参考】数式用!$A$2:$M$57,MATCH("処遇改善加算Ⅳ",【参考】数式用!$G$3:$M$3,0)+6,0),0)*M53,0)*Z53*0.5,0), "")</f>
        <v>1906000</v>
      </c>
      <c r="AD53" s="156" t="s">
        <v>2596</v>
      </c>
      <c r="AE53" s="157" t="s">
        <v>421</v>
      </c>
      <c r="AF53" s="157"/>
      <c r="AG53" s="158"/>
      <c r="AH53" s="159"/>
      <c r="AI53" s="160"/>
      <c r="AJ53" s="161" t="s">
        <v>496</v>
      </c>
      <c r="AK53" s="545" t="str">
        <f t="shared" si="17"/>
        <v/>
      </c>
      <c r="AL53" s="546" t="str">
        <f t="shared" si="0"/>
        <v/>
      </c>
      <c r="AM53" s="547"/>
      <c r="AN53" s="548" t="str">
        <f>IFERROR(VLOOKUP(K53,【参考】数式用!$A$2:$N$57,14,FALSE),"")</f>
        <v>加算対象</v>
      </c>
      <c r="AO53" s="548" t="str">
        <f t="shared" si="1"/>
        <v>N列に色付け</v>
      </c>
      <c r="AP53" s="549" t="str">
        <f t="shared" si="18"/>
        <v>入力済</v>
      </c>
      <c r="AQ53" s="549" t="str">
        <f t="shared" si="19"/>
        <v>キャリアパス要件Ⅰ・Ⅱ_加算対象</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介護医療院サービスⅤ</v>
      </c>
      <c r="AZ53" s="548" t="str">
        <f t="shared" si="8"/>
        <v/>
      </c>
      <c r="BA53" s="551" t="str">
        <f t="shared" si="21"/>
        <v>入力済</v>
      </c>
      <c r="BB53" s="550" t="str">
        <f>IFERROR(VLOOKUP(K53,【参考】数式用!$AX$3:$AY$56, 2, FALSE), "")</f>
        <v>介護医療院サービスR8</v>
      </c>
      <c r="BC53" s="548" t="str">
        <f t="shared" si="9"/>
        <v>AJ列に色付け</v>
      </c>
      <c r="BD53" s="551" t="str">
        <f t="shared" si="38"/>
        <v>入力済</v>
      </c>
      <c r="BE53" s="551" t="str">
        <f t="shared" si="10"/>
        <v/>
      </c>
      <c r="BF53" s="551" t="str">
        <f t="shared" si="11"/>
        <v/>
      </c>
      <c r="BG53" s="551" t="str">
        <f t="shared" si="12"/>
        <v>入力必要</v>
      </c>
      <c r="BH53" s="551" t="str">
        <f t="shared" si="13"/>
        <v>入力済</v>
      </c>
      <c r="BI53" s="551" t="str">
        <f t="shared" si="14"/>
        <v>茨城県</v>
      </c>
    </row>
    <row r="54" spans="1:61" ht="109.95" customHeight="1" thickBot="1">
      <c r="A54" s="456">
        <v>43</v>
      </c>
      <c r="B54" s="724" t="str">
        <f>IF(基本情報入力シート!B82="","",基本情報入力シート!B82)</f>
        <v>0811111129</v>
      </c>
      <c r="C54" s="725"/>
      <c r="D54" s="725"/>
      <c r="E54" s="725"/>
      <c r="F54" s="726"/>
      <c r="G54" s="457" t="str">
        <f>IF(基本情報入力シート!L82="", "", 基本情報入力シート!L82)</f>
        <v>茨城県</v>
      </c>
      <c r="H54" s="457" t="str">
        <f>IF(基本情報入力シート!Q82="", "", 基本情報入力シート!Q82)</f>
        <v>茨城県</v>
      </c>
      <c r="I54" s="457" t="str">
        <f>IF(基本情報入力シート!V82="", "", 基本情報入力シート!V82)</f>
        <v>潮来市</v>
      </c>
      <c r="J54" s="457" t="str">
        <f>IF(基本情報入力シート!W82="", "", 基本情報入力シート!W82)</f>
        <v>介護医療院　○○</v>
      </c>
      <c r="K54" s="457" t="str">
        <f>IF(基本情報入力シート!Z82="", "", 基本情報入力シート!Z82)</f>
        <v>短期入所療養介護 （医療院)</v>
      </c>
      <c r="L54" s="101">
        <f>IF(基本情報入力シート!AF82=0, "",基本情報入力シート!AF82)</f>
        <v>953000</v>
      </c>
      <c r="M54" s="142">
        <f>IF(AND(基本情報入力シート!AG82="",基本情報入力シート!AG82=""), "", 基本情報入力シート!AG82)</f>
        <v>10</v>
      </c>
      <c r="N54" s="136" t="s">
        <v>370</v>
      </c>
      <c r="O54" s="155">
        <f>IFERROR(VLOOKUP(K54,【参考】数式用!$A$2:$M$57,MATCH(N54,【参考】数式用!$G$3:$M$3,0)+6,0),"")</f>
        <v>0.04</v>
      </c>
      <c r="P54" s="458" t="s">
        <v>180</v>
      </c>
      <c r="Q54" s="141">
        <v>8</v>
      </c>
      <c r="R54" s="459" t="s">
        <v>271</v>
      </c>
      <c r="S54" s="141">
        <v>6</v>
      </c>
      <c r="T54" s="459" t="s">
        <v>272</v>
      </c>
      <c r="U54" s="141">
        <v>9</v>
      </c>
      <c r="V54" s="459" t="s">
        <v>271</v>
      </c>
      <c r="W54" s="141">
        <v>3</v>
      </c>
      <c r="X54" s="459" t="s">
        <v>273</v>
      </c>
      <c r="Y54" s="459" t="s">
        <v>274</v>
      </c>
      <c r="Z54" s="459">
        <f t="shared" si="15"/>
        <v>10</v>
      </c>
      <c r="AA54" s="460" t="s">
        <v>275</v>
      </c>
      <c r="AB54" s="461">
        <f t="shared" si="16"/>
        <v>3812000</v>
      </c>
      <c r="AC54" s="462">
        <f>IFERROR(ROUNDDOWN(ROUNDDOWN(ROUND(L54*VLOOKUP(K54,【参考】数式用!$A$2:$M$57,MATCH("処遇改善加算Ⅳ",【参考】数式用!$G$3:$M$3,0)+6,0),0)*M54,0)*Z54*0.5,0), "")</f>
        <v>1906000</v>
      </c>
      <c r="AD54" s="156" t="s">
        <v>2596</v>
      </c>
      <c r="AE54" s="157" t="s">
        <v>421</v>
      </c>
      <c r="AF54" s="157"/>
      <c r="AG54" s="158"/>
      <c r="AH54" s="159"/>
      <c r="AI54" s="160"/>
      <c r="AJ54" s="161" t="s">
        <v>496</v>
      </c>
      <c r="AK54" s="545" t="str">
        <f t="shared" si="17"/>
        <v/>
      </c>
      <c r="AL54" s="546" t="str">
        <f t="shared" si="0"/>
        <v/>
      </c>
      <c r="AM54" s="547"/>
      <c r="AN54" s="548" t="str">
        <f>IFERROR(VLOOKUP(K54,【参考】数式用!$A$2:$N$57,14,FALSE),"")</f>
        <v>加算対象</v>
      </c>
      <c r="AO54" s="548" t="str">
        <f t="shared" si="1"/>
        <v>N列に色付け</v>
      </c>
      <c r="AP54" s="549" t="str">
        <f t="shared" si="18"/>
        <v>入力済</v>
      </c>
      <c r="AQ54" s="549" t="str">
        <f t="shared" si="19"/>
        <v>キャリアパス要件Ⅰ・Ⅱ_加算対象</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短期入所療養介護_介護医療院_Ⅴ</v>
      </c>
      <c r="AZ54" s="548" t="str">
        <f t="shared" si="8"/>
        <v/>
      </c>
      <c r="BA54" s="551" t="str">
        <f t="shared" si="21"/>
        <v>入力済</v>
      </c>
      <c r="BB54" s="550" t="str">
        <f>IFERROR(VLOOKUP(K54,【参考】数式用!$AX$3:$AY$56, 2, FALSE), "")</f>
        <v>短期入所療養介護_介護医療院_R8</v>
      </c>
      <c r="BC54" s="548" t="str">
        <f t="shared" si="9"/>
        <v>AJ列に色付け</v>
      </c>
      <c r="BD54" s="551" t="str">
        <f t="shared" si="38"/>
        <v>入力済</v>
      </c>
      <c r="BE54" s="551" t="str">
        <f t="shared" si="10"/>
        <v/>
      </c>
      <c r="BF54" s="551" t="str">
        <f t="shared" si="11"/>
        <v/>
      </c>
      <c r="BG54" s="551" t="str">
        <f t="shared" si="12"/>
        <v>入力必要</v>
      </c>
      <c r="BH54" s="551" t="str">
        <f t="shared" si="13"/>
        <v>入力済</v>
      </c>
      <c r="BI54" s="551" t="str">
        <f t="shared" si="14"/>
        <v>茨城県</v>
      </c>
    </row>
    <row r="55" spans="1:61" ht="109.95" customHeight="1" thickBot="1">
      <c r="A55" s="456">
        <v>44</v>
      </c>
      <c r="B55" s="724" t="str">
        <f>IF(基本情報入力シート!B83="","",基本情報入力シート!B83)</f>
        <v>0811111129</v>
      </c>
      <c r="C55" s="725"/>
      <c r="D55" s="725"/>
      <c r="E55" s="725"/>
      <c r="F55" s="726"/>
      <c r="G55" s="457" t="str">
        <f>IF(基本情報入力シート!L83="", "", 基本情報入力シート!L83)</f>
        <v>茨城県</v>
      </c>
      <c r="H55" s="457" t="str">
        <f>IF(基本情報入力シート!Q83="", "", 基本情報入力シート!Q83)</f>
        <v>茨城県</v>
      </c>
      <c r="I55" s="457" t="str">
        <f>IF(基本情報入力シート!V83="", "", 基本情報入力シート!V83)</f>
        <v>潮来市</v>
      </c>
      <c r="J55" s="457" t="str">
        <f>IF(基本情報入力シート!W83="", "", 基本情報入力シート!W83)</f>
        <v>介護医療院　○○</v>
      </c>
      <c r="K55" s="457" t="str">
        <f>IF(基本情報入力シート!Z83="", "", 基本情報入力シート!Z83)</f>
        <v>介護予防短期入所療養介護 （医療院)</v>
      </c>
      <c r="L55" s="101">
        <f>IF(基本情報入力シート!AF83=0, "",基本情報入力シート!AF83)</f>
        <v>953000</v>
      </c>
      <c r="M55" s="142">
        <f>IF(AND(基本情報入力シート!AG83="",基本情報入力シート!AG83=""), "", 基本情報入力シート!AG83)</f>
        <v>10</v>
      </c>
      <c r="N55" s="136" t="s">
        <v>370</v>
      </c>
      <c r="O55" s="155">
        <f>IFERROR(VLOOKUP(K55,【参考】数式用!$A$2:$M$57,MATCH(N55,【参考】数式用!$G$3:$M$3,0)+6,0),"")</f>
        <v>0.04</v>
      </c>
      <c r="P55" s="458" t="s">
        <v>180</v>
      </c>
      <c r="Q55" s="141">
        <v>8</v>
      </c>
      <c r="R55" s="459" t="s">
        <v>271</v>
      </c>
      <c r="S55" s="141">
        <v>6</v>
      </c>
      <c r="T55" s="459" t="s">
        <v>272</v>
      </c>
      <c r="U55" s="141">
        <v>9</v>
      </c>
      <c r="V55" s="459" t="s">
        <v>271</v>
      </c>
      <c r="W55" s="141">
        <v>3</v>
      </c>
      <c r="X55" s="459" t="s">
        <v>273</v>
      </c>
      <c r="Y55" s="459" t="s">
        <v>274</v>
      </c>
      <c r="Z55" s="459">
        <f t="shared" si="15"/>
        <v>10</v>
      </c>
      <c r="AA55" s="460" t="s">
        <v>275</v>
      </c>
      <c r="AB55" s="461">
        <f t="shared" si="16"/>
        <v>3812000</v>
      </c>
      <c r="AC55" s="462">
        <f>IFERROR(ROUNDDOWN(ROUNDDOWN(ROUND(L55*VLOOKUP(K55,【参考】数式用!$A$2:$M$57,MATCH("処遇改善加算Ⅳ",【参考】数式用!$G$3:$M$3,0)+6,0),0)*M55,0)*Z55*0.5,0), "")</f>
        <v>1906000</v>
      </c>
      <c r="AD55" s="156" t="s">
        <v>2596</v>
      </c>
      <c r="AE55" s="157" t="s">
        <v>421</v>
      </c>
      <c r="AF55" s="157"/>
      <c r="AG55" s="158"/>
      <c r="AH55" s="159"/>
      <c r="AI55" s="160"/>
      <c r="AJ55" s="161" t="s">
        <v>496</v>
      </c>
      <c r="AK55" s="545" t="str">
        <f t="shared" si="17"/>
        <v/>
      </c>
      <c r="AL55" s="546" t="str">
        <f t="shared" si="0"/>
        <v/>
      </c>
      <c r="AM55" s="547"/>
      <c r="AN55" s="548" t="str">
        <f>IFERROR(VLOOKUP(K55,【参考】数式用!$A$2:$N$57,14,FALSE),"")</f>
        <v>加算対象</v>
      </c>
      <c r="AO55" s="548" t="str">
        <f t="shared" si="1"/>
        <v>N列に色付け</v>
      </c>
      <c r="AP55" s="549" t="str">
        <f t="shared" si="18"/>
        <v>入力済</v>
      </c>
      <c r="AQ55" s="549" t="str">
        <f t="shared" si="19"/>
        <v>キャリアパス要件Ⅰ・Ⅱ_加算対象</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介護予防短期入所療養介護_介護医療院_Ⅴ</v>
      </c>
      <c r="AZ55" s="548" t="str">
        <f t="shared" si="8"/>
        <v/>
      </c>
      <c r="BA55" s="551" t="str">
        <f t="shared" si="21"/>
        <v>入力済</v>
      </c>
      <c r="BB55" s="550" t="str">
        <f>IFERROR(VLOOKUP(K55,【参考】数式用!$AX$3:$AY$56, 2, FALSE), "")</f>
        <v>介護予防短期入所療養介護_介護医療院_R8</v>
      </c>
      <c r="BC55" s="548" t="str">
        <f t="shared" si="9"/>
        <v>AJ列に色付け</v>
      </c>
      <c r="BD55" s="551" t="str">
        <f t="shared" si="38"/>
        <v>入力済</v>
      </c>
      <c r="BE55" s="551" t="str">
        <f t="shared" si="10"/>
        <v/>
      </c>
      <c r="BF55" s="551" t="str">
        <f t="shared" si="11"/>
        <v/>
      </c>
      <c r="BG55" s="551" t="str">
        <f t="shared" si="12"/>
        <v>入力必要</v>
      </c>
      <c r="BH55" s="551" t="str">
        <f t="shared" si="13"/>
        <v>入力済</v>
      </c>
      <c r="BI55" s="551" t="str">
        <f t="shared" si="14"/>
        <v>茨城県</v>
      </c>
    </row>
    <row r="56" spans="1:61" ht="109.95" customHeight="1" thickBot="1">
      <c r="A56" s="456">
        <v>45</v>
      </c>
      <c r="B56" s="724" t="str">
        <f>IF(基本情報入力シート!B84="","",基本情報入力シート!B84)</f>
        <v>0811111130</v>
      </c>
      <c r="C56" s="725"/>
      <c r="D56" s="725"/>
      <c r="E56" s="725"/>
      <c r="F56" s="726"/>
      <c r="G56" s="457" t="str">
        <f>IF(基本情報入力シート!L84="", "", 基本情報入力シート!L84)</f>
        <v>茨城県</v>
      </c>
      <c r="H56" s="457" t="str">
        <f>IF(基本情報入力シート!Q84="", "", 基本情報入力シート!Q84)</f>
        <v>茨城県</v>
      </c>
      <c r="I56" s="457" t="str">
        <f>IF(基本情報入力シート!V84="", "", 基本情報入力シート!V84)</f>
        <v>守谷市</v>
      </c>
      <c r="J56" s="457" t="str">
        <f>IF(基本情報入力シート!W84="", "", 基本情報入力シート!W84)</f>
        <v>訪問看護ステーション　○○</v>
      </c>
      <c r="K56" s="457" t="str">
        <f>IF(基本情報入力シート!Z84="", "", 基本情報入力シート!Z84)</f>
        <v>訪問看護</v>
      </c>
      <c r="L56" s="101">
        <f>IF(基本情報入力シート!AF84=0, "",基本情報入力シート!AF84)</f>
        <v>1000000</v>
      </c>
      <c r="M56" s="142">
        <f>IF(AND(基本情報入力シート!AG84="",基本情報入力シート!AG84=""), "", 基本情報入力シート!AG84)</f>
        <v>10.7</v>
      </c>
      <c r="N56" s="136" t="s">
        <v>351</v>
      </c>
      <c r="O56" s="155">
        <f>IFERROR(VLOOKUP(K56,【参考】数式用!$A$2:$M$57,MATCH(N56,【参考】数式用!$G$3:$M$3,0)+6,0),"")</f>
        <v>1.7999999999999999E-2</v>
      </c>
      <c r="P56" s="458" t="s">
        <v>180</v>
      </c>
      <c r="Q56" s="141">
        <v>8</v>
      </c>
      <c r="R56" s="459" t="s">
        <v>271</v>
      </c>
      <c r="S56" s="141">
        <v>6</v>
      </c>
      <c r="T56" s="459" t="s">
        <v>272</v>
      </c>
      <c r="U56" s="141">
        <v>9</v>
      </c>
      <c r="V56" s="459" t="s">
        <v>271</v>
      </c>
      <c r="W56" s="141">
        <v>3</v>
      </c>
      <c r="X56" s="459" t="s">
        <v>273</v>
      </c>
      <c r="Y56" s="459" t="s">
        <v>274</v>
      </c>
      <c r="Z56" s="459">
        <f t="shared" si="15"/>
        <v>10</v>
      </c>
      <c r="AA56" s="460" t="s">
        <v>275</v>
      </c>
      <c r="AB56" s="461">
        <f t="shared" si="16"/>
        <v>1926000</v>
      </c>
      <c r="AC56" s="462">
        <f>IFERROR(ROUNDDOWN(ROUNDDOWN(ROUND(L56*VLOOKUP(K56,【参考】数式用!$A$2:$M$57,MATCH("処遇改善加算Ⅳ",【参考】数式用!$G$3:$M$3,0)+6,0),0)*M56,0)*Z56*0.5,0), "")</f>
        <v>0</v>
      </c>
      <c r="AD56" s="156"/>
      <c r="AE56" s="157" t="s">
        <v>2596</v>
      </c>
      <c r="AF56" s="157"/>
      <c r="AG56" s="158"/>
      <c r="AH56" s="159"/>
      <c r="AI56" s="160"/>
      <c r="AJ56" s="161"/>
      <c r="AK56" s="545" t="str">
        <f t="shared" si="17"/>
        <v/>
      </c>
      <c r="AL56" s="546" t="str">
        <f t="shared" si="0"/>
        <v/>
      </c>
      <c r="AM56" s="547"/>
      <c r="AN56" s="548" t="str">
        <f>IFERROR(VLOOKUP(K56,【参考】数式用!$A$2:$N$57,14,FALSE),"")</f>
        <v>加算対象外</v>
      </c>
      <c r="AO56" s="548" t="str">
        <f t="shared" si="1"/>
        <v>N列に色付け</v>
      </c>
      <c r="AP56" s="549" t="str">
        <f t="shared" si="18"/>
        <v/>
      </c>
      <c r="AQ56" s="549" t="str">
        <f t="shared" si="19"/>
        <v>キャリアパス要件Ⅰ・Ⅱ_加算対象外</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訪問看護R8</v>
      </c>
      <c r="BC56" s="548" t="str">
        <f t="shared" si="9"/>
        <v>AJ列に色付け</v>
      </c>
      <c r="BD56" s="551" t="str">
        <f t="shared" si="38"/>
        <v>入力済</v>
      </c>
      <c r="BE56" s="551" t="str">
        <f t="shared" si="10"/>
        <v/>
      </c>
      <c r="BF56" s="551" t="str">
        <f t="shared" si="11"/>
        <v>AJ列色消し</v>
      </c>
      <c r="BG56" s="551" t="str">
        <f t="shared" si="12"/>
        <v/>
      </c>
      <c r="BH56" s="551" t="str">
        <f t="shared" si="13"/>
        <v/>
      </c>
      <c r="BI56" s="551" t="str">
        <f t="shared" si="14"/>
        <v>茨城県</v>
      </c>
    </row>
    <row r="57" spans="1:61" ht="109.95" customHeight="1" thickBot="1">
      <c r="A57" s="456">
        <v>46</v>
      </c>
      <c r="B57" s="724" t="str">
        <f>IF(基本情報入力シート!B85="","",基本情報入力シート!B85)</f>
        <v>0811111130</v>
      </c>
      <c r="C57" s="725"/>
      <c r="D57" s="725"/>
      <c r="E57" s="725"/>
      <c r="F57" s="726"/>
      <c r="G57" s="457" t="str">
        <f>IF(基本情報入力シート!L85="", "", 基本情報入力シート!L85)</f>
        <v>茨城県</v>
      </c>
      <c r="H57" s="457" t="str">
        <f>IF(基本情報入力シート!Q85="", "", 基本情報入力シート!Q85)</f>
        <v>茨城県</v>
      </c>
      <c r="I57" s="457" t="str">
        <f>IF(基本情報入力シート!V85="", "", 基本情報入力シート!V85)</f>
        <v>守谷市</v>
      </c>
      <c r="J57" s="457" t="str">
        <f>IF(基本情報入力シート!W85="", "", 基本情報入力シート!W85)</f>
        <v>訪問看護ステーション　○○</v>
      </c>
      <c r="K57" s="457" t="str">
        <f>IF(基本情報入力シート!Z85="", "", 基本情報入力シート!Z85)</f>
        <v>介護予防訪問看護</v>
      </c>
      <c r="L57" s="101">
        <f>IF(基本情報入力シート!AF85=0, "",基本情報入力シート!AF85)</f>
        <v>1000000</v>
      </c>
      <c r="M57" s="142">
        <f>IF(AND(基本情報入力シート!AG85="",基本情報入力シート!AG85=""), "", 基本情報入力シート!AG85)</f>
        <v>10.7</v>
      </c>
      <c r="N57" s="136" t="s">
        <v>351</v>
      </c>
      <c r="O57" s="155">
        <f>IFERROR(VLOOKUP(K57,【参考】数式用!$A$2:$M$57,MATCH(N57,【参考】数式用!$G$3:$M$3,0)+6,0),"")</f>
        <v>1.7999999999999999E-2</v>
      </c>
      <c r="P57" s="458" t="s">
        <v>180</v>
      </c>
      <c r="Q57" s="141">
        <v>8</v>
      </c>
      <c r="R57" s="459" t="s">
        <v>271</v>
      </c>
      <c r="S57" s="141">
        <v>6</v>
      </c>
      <c r="T57" s="459" t="s">
        <v>272</v>
      </c>
      <c r="U57" s="141">
        <v>9</v>
      </c>
      <c r="V57" s="459" t="s">
        <v>271</v>
      </c>
      <c r="W57" s="141">
        <v>3</v>
      </c>
      <c r="X57" s="459" t="s">
        <v>182</v>
      </c>
      <c r="Y57" s="459" t="s">
        <v>274</v>
      </c>
      <c r="Z57" s="459">
        <f t="shared" si="15"/>
        <v>10</v>
      </c>
      <c r="AA57" s="460" t="s">
        <v>275</v>
      </c>
      <c r="AB57" s="461">
        <f t="shared" si="16"/>
        <v>1926000</v>
      </c>
      <c r="AC57" s="462">
        <f>IFERROR(ROUNDDOWN(ROUNDDOWN(ROUND(L57*VLOOKUP(K57,【参考】数式用!$A$2:$M$57,MATCH("処遇改善加算Ⅳ",【参考】数式用!$G$3:$M$3,0)+6,0),0)*M57,0)*Z57*0.5,0), "")</f>
        <v>0</v>
      </c>
      <c r="AD57" s="156"/>
      <c r="AE57" s="157" t="s">
        <v>2596</v>
      </c>
      <c r="AF57" s="157"/>
      <c r="AG57" s="158"/>
      <c r="AH57" s="159"/>
      <c r="AI57" s="160"/>
      <c r="AJ57" s="161"/>
      <c r="AK57" s="545" t="str">
        <f t="shared" si="17"/>
        <v/>
      </c>
      <c r="AL57" s="546" t="str">
        <f t="shared" si="0"/>
        <v/>
      </c>
      <c r="AM57" s="547"/>
      <c r="AN57" s="548" t="str">
        <f>IFERROR(VLOOKUP(K57,【参考】数式用!$A$2:$N$57,14,FALSE),"")</f>
        <v>加算対象外</v>
      </c>
      <c r="AO57" s="548" t="str">
        <f t="shared" si="1"/>
        <v>N列に色付け</v>
      </c>
      <c r="AP57" s="549" t="str">
        <f t="shared" si="18"/>
        <v/>
      </c>
      <c r="AQ57" s="549" t="str">
        <f t="shared" si="19"/>
        <v>キャリアパス要件Ⅰ・Ⅱ_加算対象外</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介護予防訪問看護R8</v>
      </c>
      <c r="BC57" s="548" t="str">
        <f t="shared" si="9"/>
        <v>AJ列に色付け</v>
      </c>
      <c r="BD57" s="551" t="str">
        <f t="shared" si="38"/>
        <v>入力済</v>
      </c>
      <c r="BE57" s="551" t="str">
        <f t="shared" si="10"/>
        <v/>
      </c>
      <c r="BF57" s="551" t="str">
        <f t="shared" si="11"/>
        <v>AJ列色消し</v>
      </c>
      <c r="BG57" s="551" t="str">
        <f t="shared" si="12"/>
        <v/>
      </c>
      <c r="BH57" s="551" t="str">
        <f t="shared" si="13"/>
        <v/>
      </c>
      <c r="BI57" s="551" t="str">
        <f t="shared" si="14"/>
        <v>茨城県</v>
      </c>
    </row>
    <row r="58" spans="1:61" ht="109.95" customHeight="1" thickBot="1">
      <c r="A58" s="456">
        <v>47</v>
      </c>
      <c r="B58" s="724" t="str">
        <f>IF(基本情報入力シート!B86="","",基本情報入力シート!B86)</f>
        <v>0811111131</v>
      </c>
      <c r="C58" s="725"/>
      <c r="D58" s="725"/>
      <c r="E58" s="725"/>
      <c r="F58" s="726"/>
      <c r="G58" s="457" t="str">
        <f>IF(基本情報入力シート!L86="", "", 基本情報入力シート!L86)</f>
        <v>茨城県</v>
      </c>
      <c r="H58" s="457" t="str">
        <f>IF(基本情報入力シート!Q86="", "", 基本情報入力シート!Q86)</f>
        <v>茨城県</v>
      </c>
      <c r="I58" s="457" t="str">
        <f>IF(基本情報入力シート!V86="", "", 基本情報入力シート!V86)</f>
        <v>常陸大宮市</v>
      </c>
      <c r="J58" s="457" t="str">
        <f>IF(基本情報入力シート!W86="", "", 基本情報入力シート!W86)</f>
        <v>訪問リハビリテーション　○○</v>
      </c>
      <c r="K58" s="457" t="str">
        <f>IF(基本情報入力シート!Z86="", "", 基本情報入力シート!Z86)</f>
        <v>訪問リハビリテーション</v>
      </c>
      <c r="L58" s="101">
        <f>IF(基本情報入力シート!AF86=0, "",基本情報入力シート!AF86)</f>
        <v>1000000</v>
      </c>
      <c r="M58" s="142">
        <f>IF(AND(基本情報入力シート!AG86="",基本情報入力シート!AG86=""), "", 基本情報入力シート!AG86)</f>
        <v>10</v>
      </c>
      <c r="N58" s="136" t="s">
        <v>351</v>
      </c>
      <c r="O58" s="155">
        <f>IFERROR(VLOOKUP(K58,【参考】数式用!$A$2:$M$57,MATCH(N58,【参考】数式用!$G$3:$M$3,0)+6,0),"")</f>
        <v>1.4999999999999999E-2</v>
      </c>
      <c r="P58" s="458" t="s">
        <v>180</v>
      </c>
      <c r="Q58" s="141">
        <v>8</v>
      </c>
      <c r="R58" s="459" t="s">
        <v>271</v>
      </c>
      <c r="S58" s="141">
        <v>6</v>
      </c>
      <c r="T58" s="459" t="s">
        <v>272</v>
      </c>
      <c r="U58" s="141">
        <v>9</v>
      </c>
      <c r="V58" s="459" t="s">
        <v>271</v>
      </c>
      <c r="W58" s="141">
        <v>3</v>
      </c>
      <c r="X58" s="459" t="s">
        <v>273</v>
      </c>
      <c r="Y58" s="459" t="s">
        <v>274</v>
      </c>
      <c r="Z58" s="459">
        <f t="shared" si="15"/>
        <v>10</v>
      </c>
      <c r="AA58" s="460" t="s">
        <v>275</v>
      </c>
      <c r="AB58" s="461">
        <f t="shared" si="16"/>
        <v>1500000</v>
      </c>
      <c r="AC58" s="462">
        <f>IFERROR(ROUNDDOWN(ROUNDDOWN(ROUND(L58*VLOOKUP(K58,【参考】数式用!$A$2:$M$57,MATCH("処遇改善加算Ⅳ",【参考】数式用!$G$3:$M$3,0)+6,0),0)*M58,0)*Z58*0.5,0), "")</f>
        <v>0</v>
      </c>
      <c r="AD58" s="156"/>
      <c r="AE58" s="157" t="s">
        <v>421</v>
      </c>
      <c r="AF58" s="157"/>
      <c r="AG58" s="158"/>
      <c r="AH58" s="159"/>
      <c r="AI58" s="160"/>
      <c r="AJ58" s="161" t="s">
        <v>2597</v>
      </c>
      <c r="AK58" s="545" t="str">
        <f>IF(AND(N58&lt;&gt;"", 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IF(AND(AN58="加算対象外",N58&lt;&gt;"",AE58="―",AJ58="―"),"このサービスについては、キャリアパス要件Ⅰ・Ⅱか令和８年度特例要件のどちらかの要件を満たしている必要があります",""))</f>
        <v/>
      </c>
      <c r="AL58" s="546" t="str">
        <f>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547"/>
      <c r="AN58" s="548" t="str">
        <f>IFERROR(VLOOKUP(K58,【参考】数式用!$A$2:$N$57,14,FALSE),"")</f>
        <v>加算対象外</v>
      </c>
      <c r="AO58" s="548" t="str">
        <f t="shared" si="1"/>
        <v>N列に色付け</v>
      </c>
      <c r="AP58" s="549" t="str">
        <f t="shared" si="18"/>
        <v/>
      </c>
      <c r="AQ58" s="549" t="str">
        <f t="shared" si="19"/>
        <v>キャリアパス要件Ⅰ・Ⅱ_加算対象外</v>
      </c>
      <c r="AR58" s="550" t="str">
        <f>IF(AND(N58&lt;&gt;"", AE58=""), "未入力", "入力済")</f>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訪問リハビリテーションR8</v>
      </c>
      <c r="BC58" s="548" t="str">
        <f>IF(OR(COUNTIF(AE58:AH58,"*令和８年度特例要件を*")&gt;0,ISNUMBER(SEARCH("処遇改善加算Ⅰロ",N58)),ISNUMBER(SEARCH("処遇改善加算Ⅱロ",N58)),AN58="加算対象外"),"AJ列に色付け","")</f>
        <v>AJ列に色付け</v>
      </c>
      <c r="BD58" s="551" t="str">
        <f>IF(AND(COUNTIF(AE58:AH58,"*令和８年度特例要件を*")&gt;0,AJ58=""), "未入力","入力済")</f>
        <v>入力済</v>
      </c>
      <c r="BE58" s="551" t="str">
        <f>IF(AH58="その他（小規模事業所等である等）","AJ列色消し",IF(OR(ISNUMBER(SEARCH("処遇改善加算Ⅰロ",N58)),ISNUMBER(SEARCH("処遇改善加算Ⅱロ",N58))),"",IF(AND(BC58="AJ列に色付け",AE58="○",AF58="○",AG58&gt;=1),"AJ列色消し","")))</f>
        <v/>
      </c>
      <c r="BF58" s="551" t="str">
        <f>IF(AND(N58="処遇改善加算",AE58="○"),"AJ列色消し","")</f>
        <v/>
      </c>
      <c r="BG58" s="551" t="str">
        <f t="shared" si="12"/>
        <v>入力必要</v>
      </c>
      <c r="BH58" s="551" t="str">
        <f t="shared" si="13"/>
        <v>入力済</v>
      </c>
      <c r="BI58" s="551" t="str">
        <f t="shared" si="14"/>
        <v>茨城県</v>
      </c>
    </row>
    <row r="59" spans="1:61" ht="109.95" customHeight="1" thickBot="1">
      <c r="A59" s="456">
        <v>48</v>
      </c>
      <c r="B59" s="724" t="str">
        <f>IF(基本情報入力シート!B87="","",基本情報入力シート!B87)</f>
        <v>0811111131</v>
      </c>
      <c r="C59" s="725"/>
      <c r="D59" s="725"/>
      <c r="E59" s="725"/>
      <c r="F59" s="726"/>
      <c r="G59" s="457" t="str">
        <f>IF(基本情報入力シート!L87="", "", 基本情報入力シート!L87)</f>
        <v>茨城県</v>
      </c>
      <c r="H59" s="457" t="str">
        <f>IF(基本情報入力シート!Q87="", "", 基本情報入力シート!Q87)</f>
        <v>茨城県</v>
      </c>
      <c r="I59" s="457" t="str">
        <f>IF(基本情報入力シート!V87="", "", 基本情報入力シート!V87)</f>
        <v>常陸大宮市</v>
      </c>
      <c r="J59" s="457" t="str">
        <f>IF(基本情報入力シート!W87="", "", 基本情報入力シート!W87)</f>
        <v>訪問リハビリテーション　○○</v>
      </c>
      <c r="K59" s="457" t="str">
        <f>IF(基本情報入力シート!Z87="", "", 基本情報入力シート!Z87)</f>
        <v>介護予防訪問リハビリテーション</v>
      </c>
      <c r="L59" s="101">
        <f>IF(基本情報入力シート!AF87=0, "",基本情報入力シート!AF87)</f>
        <v>1000000</v>
      </c>
      <c r="M59" s="142">
        <f>IF(AND(基本情報入力シート!AG87="",基本情報入力シート!AG87=""), "", 基本情報入力シート!AG87)</f>
        <v>10</v>
      </c>
      <c r="N59" s="136" t="s">
        <v>351</v>
      </c>
      <c r="O59" s="155">
        <f>IFERROR(VLOOKUP(K59,【参考】数式用!$A$2:$M$57,MATCH(N59,【参考】数式用!$G$3:$M$3,0)+6,0),"")</f>
        <v>1.4999999999999999E-2</v>
      </c>
      <c r="P59" s="458" t="s">
        <v>180</v>
      </c>
      <c r="Q59" s="141">
        <v>8</v>
      </c>
      <c r="R59" s="459" t="s">
        <v>271</v>
      </c>
      <c r="S59" s="141">
        <v>6</v>
      </c>
      <c r="T59" s="459" t="s">
        <v>272</v>
      </c>
      <c r="U59" s="141">
        <v>9</v>
      </c>
      <c r="V59" s="459" t="s">
        <v>271</v>
      </c>
      <c r="W59" s="141">
        <v>3</v>
      </c>
      <c r="X59" s="459" t="s">
        <v>273</v>
      </c>
      <c r="Y59" s="459" t="s">
        <v>274</v>
      </c>
      <c r="Z59" s="459">
        <f t="shared" si="15"/>
        <v>10</v>
      </c>
      <c r="AA59" s="460" t="s">
        <v>275</v>
      </c>
      <c r="AB59" s="461">
        <f t="shared" si="16"/>
        <v>1500000</v>
      </c>
      <c r="AC59" s="462">
        <f>IFERROR(ROUNDDOWN(ROUNDDOWN(ROUND(L59*VLOOKUP(K59,【参考】数式用!$A$2:$M$57,MATCH("処遇改善加算Ⅳ",【参考】数式用!$G$3:$M$3,0)+6,0),0)*M59,0)*Z59*0.5,0), "")</f>
        <v>0</v>
      </c>
      <c r="AD59" s="156"/>
      <c r="AE59" s="157" t="s">
        <v>421</v>
      </c>
      <c r="AF59" s="157"/>
      <c r="AG59" s="158"/>
      <c r="AH59" s="159"/>
      <c r="AI59" s="160"/>
      <c r="AJ59" s="161" t="s">
        <v>2597</v>
      </c>
      <c r="AK59" s="545" t="str">
        <f>IF(AND(N59&lt;&gt;"", 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IF(AND(AN59="加算対象外",N59&lt;&gt;"",AE59="―",AJ59="―"),"このサービスについては、キャリアパス要件Ⅰ・Ⅱか令和８年度特例要件のどちらかの要件を満たしている必要があります",""))</f>
        <v/>
      </c>
      <c r="AL59" s="546" t="str">
        <f>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547"/>
      <c r="AN59" s="548" t="str">
        <f>IFERROR(VLOOKUP(K59,【参考】数式用!$A$2:$N$57,14,FALSE),"")</f>
        <v>加算対象外</v>
      </c>
      <c r="AO59" s="548" t="str">
        <f t="shared" si="1"/>
        <v>N列に色付け</v>
      </c>
      <c r="AP59" s="549" t="str">
        <f t="shared" si="18"/>
        <v/>
      </c>
      <c r="AQ59" s="549" t="str">
        <f t="shared" si="19"/>
        <v>キャリアパス要件Ⅰ・Ⅱ_加算対象外</v>
      </c>
      <c r="AR59" s="550" t="str">
        <f>IF(AND(N59&lt;&gt;"", AE59=""), "未入力", "入力済")</f>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介護予防訪問リハビリテーションR8</v>
      </c>
      <c r="BC59" s="548" t="str">
        <f t="shared" si="9"/>
        <v>AJ列に色付け</v>
      </c>
      <c r="BD59" s="551" t="str">
        <f t="shared" si="38"/>
        <v>入力済</v>
      </c>
      <c r="BE59" s="551" t="str">
        <f>IF(AH59="その他（小規模事業所等である等）","AJ列色消し",IF(OR(ISNUMBER(SEARCH("処遇改善加算Ⅰロ",N59)),ISNUMBER(SEARCH("処遇改善加算Ⅱロ",N59))),"",IF(AND(BC59="AJ列に色付け",AE59="○",AF59="○",AG59&gt;=1),"AJ列色消し","")))</f>
        <v/>
      </c>
      <c r="BF59" s="551" t="str">
        <f>IF(AND(N59="処遇改善加算",AE59="○"),"AJ列色消し","")</f>
        <v/>
      </c>
      <c r="BG59" s="551" t="str">
        <f t="shared" si="12"/>
        <v>入力必要</v>
      </c>
      <c r="BH59" s="551" t="str">
        <f t="shared" si="13"/>
        <v>入力済</v>
      </c>
      <c r="BI59" s="551" t="str">
        <f t="shared" si="14"/>
        <v>茨城県</v>
      </c>
    </row>
    <row r="60" spans="1:61" ht="109.95" customHeight="1" thickBot="1">
      <c r="A60" s="456">
        <v>49</v>
      </c>
      <c r="B60" s="724" t="str">
        <f>IF(基本情報入力シート!B88="","",基本情報入力シート!B88)</f>
        <v>0811111132</v>
      </c>
      <c r="C60" s="725"/>
      <c r="D60" s="725"/>
      <c r="E60" s="725"/>
      <c r="F60" s="726"/>
      <c r="G60" s="457" t="str">
        <f>IF(基本情報入力シート!L88="", "", 基本情報入力シート!L88)</f>
        <v>那珂市</v>
      </c>
      <c r="H60" s="457" t="str">
        <f>IF(基本情報入力シート!Q88="", "", 基本情報入力シート!Q88)</f>
        <v>茨城県</v>
      </c>
      <c r="I60" s="457" t="str">
        <f>IF(基本情報入力シート!V88="", "", 基本情報入力シート!V88)</f>
        <v>那珂市</v>
      </c>
      <c r="J60" s="457" t="str">
        <f>IF(基本情報入力シート!W88="", "", 基本情報入力シート!W88)</f>
        <v>居宅介護支援事業所　○○</v>
      </c>
      <c r="K60" s="457" t="str">
        <f>IF(基本情報入力シート!Z88="", "", 基本情報入力シート!Z88)</f>
        <v>居宅介護支援</v>
      </c>
      <c r="L60" s="101">
        <f>IF(基本情報入力シート!AF88=0, "",基本情報入力シート!AF88)</f>
        <v>1000000</v>
      </c>
      <c r="M60" s="142">
        <f>IF(AND(基本情報入力シート!AG88="",基本情報入力シート!AG88=""), "", 基本情報入力シート!AG88)</f>
        <v>10.210000000000001</v>
      </c>
      <c r="N60" s="136" t="s">
        <v>351</v>
      </c>
      <c r="O60" s="155">
        <f>IFERROR(VLOOKUP(K60,【参考】数式用!$A$2:$M$57,MATCH(N60,【参考】数式用!$G$3:$M$3,0)+6,0),"")</f>
        <v>2.1000000000000001E-2</v>
      </c>
      <c r="P60" s="458" t="s">
        <v>180</v>
      </c>
      <c r="Q60" s="141">
        <v>8</v>
      </c>
      <c r="R60" s="459" t="s">
        <v>271</v>
      </c>
      <c r="S60" s="141">
        <v>6</v>
      </c>
      <c r="T60" s="459" t="s">
        <v>272</v>
      </c>
      <c r="U60" s="141">
        <v>9</v>
      </c>
      <c r="V60" s="459" t="s">
        <v>271</v>
      </c>
      <c r="W60" s="141">
        <v>3</v>
      </c>
      <c r="X60" s="459" t="s">
        <v>273</v>
      </c>
      <c r="Y60" s="459" t="s">
        <v>274</v>
      </c>
      <c r="Z60" s="459">
        <f t="shared" si="15"/>
        <v>10</v>
      </c>
      <c r="AA60" s="460" t="s">
        <v>275</v>
      </c>
      <c r="AB60" s="461">
        <f t="shared" si="16"/>
        <v>2144100</v>
      </c>
      <c r="AC60" s="462">
        <f>IFERROR(ROUNDDOWN(ROUNDDOWN(ROUND(L60*VLOOKUP(K60,【参考】数式用!$A$2:$M$57,MATCH("処遇改善加算Ⅳ",【参考】数式用!$G$3:$M$3,0)+6,0),0)*M60,0)*Z60*0.5,0), "")</f>
        <v>0</v>
      </c>
      <c r="AD60" s="156"/>
      <c r="AE60" s="157" t="s">
        <v>430</v>
      </c>
      <c r="AF60" s="157"/>
      <c r="AG60" s="158"/>
      <c r="AH60" s="159"/>
      <c r="AI60" s="160"/>
      <c r="AJ60" s="161" t="s">
        <v>392</v>
      </c>
      <c r="AK60" s="545" t="str">
        <f t="shared" si="17"/>
        <v/>
      </c>
      <c r="AL60" s="546" t="str">
        <f t="shared" si="0"/>
        <v/>
      </c>
      <c r="AM60" s="547"/>
      <c r="AN60" s="548" t="str">
        <f>IFERROR(VLOOKUP(K60,【参考】数式用!$A$2:$N$57,14,FALSE),"")</f>
        <v>加算対象外</v>
      </c>
      <c r="AO60" s="548" t="str">
        <f t="shared" si="1"/>
        <v>N列に色付け</v>
      </c>
      <c r="AP60" s="549" t="str">
        <f t="shared" si="18"/>
        <v/>
      </c>
      <c r="AQ60" s="549" t="str">
        <f t="shared" si="19"/>
        <v>キャリアパス要件Ⅰ・Ⅱ_加算対象外</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居宅介護支援R8</v>
      </c>
      <c r="BC60" s="548" t="str">
        <f t="shared" si="9"/>
        <v>AJ列に色付け</v>
      </c>
      <c r="BD60" s="551" t="str">
        <f t="shared" si="38"/>
        <v>入力済</v>
      </c>
      <c r="BE60" s="551" t="str">
        <f t="shared" si="10"/>
        <v/>
      </c>
      <c r="BF60" s="551" t="str">
        <f t="shared" si="11"/>
        <v/>
      </c>
      <c r="BG60" s="551" t="str">
        <f t="shared" si="12"/>
        <v>入力必要</v>
      </c>
      <c r="BH60" s="551" t="str">
        <f t="shared" si="13"/>
        <v>入力済</v>
      </c>
      <c r="BI60" s="551" t="str">
        <f t="shared" si="14"/>
        <v>那珂市</v>
      </c>
    </row>
    <row r="61" spans="1:61" ht="109.95" customHeight="1" thickBot="1">
      <c r="A61" s="456">
        <v>50</v>
      </c>
      <c r="B61" s="724" t="str">
        <f>IF(基本情報入力シート!B89="","",基本情報入力シート!B89)</f>
        <v>0811111133</v>
      </c>
      <c r="C61" s="725"/>
      <c r="D61" s="725"/>
      <c r="E61" s="725"/>
      <c r="F61" s="726"/>
      <c r="G61" s="457" t="str">
        <f>IF(基本情報入力シート!L89="", "", 基本情報入力シート!L89)</f>
        <v>筑西市</v>
      </c>
      <c r="H61" s="457" t="str">
        <f>IF(基本情報入力シート!Q89="", "", 基本情報入力シート!Q89)</f>
        <v>茨城県</v>
      </c>
      <c r="I61" s="457" t="str">
        <f>IF(基本情報入力シート!V89="", "", 基本情報入力シート!V89)</f>
        <v>筑西市</v>
      </c>
      <c r="J61" s="457" t="str">
        <f>IF(基本情報入力シート!W89="", "", 基本情報入力シート!W89)</f>
        <v>○○ケアプランセンター</v>
      </c>
      <c r="K61" s="457" t="str">
        <f>IF(基本情報入力シート!Z89="", "", 基本情報入力シート!Z89)</f>
        <v>介護予防支援</v>
      </c>
      <c r="L61" s="101">
        <f>IF(基本情報入力シート!AF89=0, "",基本情報入力シート!AF89)</f>
        <v>1000000</v>
      </c>
      <c r="M61" s="142">
        <f>IF(AND(基本情報入力シート!AG89="",基本情報入力シート!AG89=""), "", 基本情報入力シート!AG89)</f>
        <v>10.210000000000001</v>
      </c>
      <c r="N61" s="136" t="s">
        <v>351</v>
      </c>
      <c r="O61" s="155">
        <f>IFERROR(VLOOKUP(K61,【参考】数式用!$A$2:$M$57,MATCH(N61,【参考】数式用!$G$3:$M$3,0)+6,0),"")</f>
        <v>2.1000000000000001E-2</v>
      </c>
      <c r="P61" s="458" t="s">
        <v>180</v>
      </c>
      <c r="Q61" s="141">
        <v>8</v>
      </c>
      <c r="R61" s="459" t="s">
        <v>271</v>
      </c>
      <c r="S61" s="141">
        <v>6</v>
      </c>
      <c r="T61" s="459" t="s">
        <v>272</v>
      </c>
      <c r="U61" s="141">
        <v>9</v>
      </c>
      <c r="V61" s="459" t="s">
        <v>271</v>
      </c>
      <c r="W61" s="141">
        <v>3</v>
      </c>
      <c r="X61" s="459" t="s">
        <v>182</v>
      </c>
      <c r="Y61" s="459" t="s">
        <v>274</v>
      </c>
      <c r="Z61" s="459">
        <f t="shared" si="15"/>
        <v>10</v>
      </c>
      <c r="AA61" s="460" t="s">
        <v>275</v>
      </c>
      <c r="AB61" s="461">
        <f t="shared" si="16"/>
        <v>2144100</v>
      </c>
      <c r="AC61" s="462">
        <f>IFERROR(ROUNDDOWN(ROUNDDOWN(ROUND(L61*VLOOKUP(K61,【参考】数式用!$A$2:$M$57,MATCH("処遇改善加算Ⅳ",【参考】数式用!$G$3:$M$3,0)+6,0),0)*M61,0)*Z61*0.5,0), "")</f>
        <v>0</v>
      </c>
      <c r="AD61" s="156"/>
      <c r="AE61" s="157" t="s">
        <v>430</v>
      </c>
      <c r="AF61" s="157"/>
      <c r="AG61" s="158"/>
      <c r="AH61" s="159"/>
      <c r="AI61" s="160"/>
      <c r="AJ61" s="161" t="s">
        <v>392</v>
      </c>
      <c r="AK61" s="545" t="str">
        <f t="shared" si="17"/>
        <v/>
      </c>
      <c r="AL61" s="546" t="str">
        <f t="shared" si="0"/>
        <v/>
      </c>
      <c r="AM61" s="547"/>
      <c r="AN61" s="548" t="str">
        <f>IFERROR(VLOOKUP(K61,【参考】数式用!$A$2:$N$57,14,FALSE),"")</f>
        <v>加算対象外</v>
      </c>
      <c r="AO61" s="548" t="str">
        <f t="shared" si="1"/>
        <v>N列に色付け</v>
      </c>
      <c r="AP61" s="549" t="str">
        <f t="shared" si="18"/>
        <v/>
      </c>
      <c r="AQ61" s="549" t="str">
        <f t="shared" si="19"/>
        <v>キャリアパス要件Ⅰ・Ⅱ_加算対象外</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介護予防支援R8</v>
      </c>
      <c r="BC61" s="548" t="str">
        <f t="shared" si="9"/>
        <v>AJ列に色付け</v>
      </c>
      <c r="BD61" s="551" t="str">
        <f t="shared" si="38"/>
        <v>入力済</v>
      </c>
      <c r="BE61" s="551" t="str">
        <f t="shared" si="10"/>
        <v/>
      </c>
      <c r="BF61" s="551" t="str">
        <f t="shared" si="11"/>
        <v/>
      </c>
      <c r="BG61" s="551" t="str">
        <f t="shared" si="12"/>
        <v>入力必要</v>
      </c>
      <c r="BH61" s="551" t="str">
        <f t="shared" si="13"/>
        <v>入力済</v>
      </c>
      <c r="BI61" s="551" t="str">
        <f t="shared" si="14"/>
        <v>筑西市</v>
      </c>
    </row>
    <row r="62" spans="1:61" ht="109.95" customHeight="1" thickBot="1">
      <c r="A62" s="456">
        <v>51</v>
      </c>
      <c r="B62" s="724" t="str">
        <f>IF(基本情報入力シート!B90="","",基本情報入力シート!B90)</f>
        <v>0811111134</v>
      </c>
      <c r="C62" s="725"/>
      <c r="D62" s="725"/>
      <c r="E62" s="725"/>
      <c r="F62" s="726"/>
      <c r="G62" s="457" t="str">
        <f>IF(基本情報入力シート!L90="", "", 基本情報入力シート!L90)</f>
        <v>坂東市</v>
      </c>
      <c r="H62" s="457" t="str">
        <f>IF(基本情報入力シート!Q90="", "", 基本情報入力シート!Q90)</f>
        <v>茨城県</v>
      </c>
      <c r="I62" s="457" t="str">
        <f>IF(基本情報入力シート!V90="", "", 基本情報入力シート!V90)</f>
        <v>坂東市</v>
      </c>
      <c r="J62" s="457" t="str">
        <f>IF(基本情報入力シート!W90="", "", 基本情報入力シート!W90)</f>
        <v>○○地域包括支援センター</v>
      </c>
      <c r="K62" s="457" t="str">
        <f>IF(基本情報入力シート!Z90="", "", 基本情報入力シート!Z90)</f>
        <v>介護予防ケアマネジメント</v>
      </c>
      <c r="L62" s="101">
        <f>IF(基本情報入力シート!AF90=0, "",基本情報入力シート!AF90)</f>
        <v>1000000</v>
      </c>
      <c r="M62" s="142">
        <f>IF(AND(基本情報入力シート!AG90="",基本情報入力シート!AG90=""), "", 基本情報入力シート!AG90)</f>
        <v>10.210000000000001</v>
      </c>
      <c r="N62" s="136" t="s">
        <v>351</v>
      </c>
      <c r="O62" s="155">
        <f>IFERROR(VLOOKUP(K62,【参考】数式用!$A$2:$M$57,MATCH(N62,【参考】数式用!$G$3:$M$3,0)+6,0),"")</f>
        <v>2.1000000000000001E-2</v>
      </c>
      <c r="P62" s="458" t="s">
        <v>180</v>
      </c>
      <c r="Q62" s="141">
        <v>8</v>
      </c>
      <c r="R62" s="459" t="s">
        <v>271</v>
      </c>
      <c r="S62" s="141">
        <v>6</v>
      </c>
      <c r="T62" s="459" t="s">
        <v>272</v>
      </c>
      <c r="U62" s="141">
        <v>9</v>
      </c>
      <c r="V62" s="459" t="s">
        <v>271</v>
      </c>
      <c r="W62" s="141">
        <v>3</v>
      </c>
      <c r="X62" s="459" t="s">
        <v>182</v>
      </c>
      <c r="Y62" s="459" t="s">
        <v>274</v>
      </c>
      <c r="Z62" s="459">
        <f t="shared" si="15"/>
        <v>10</v>
      </c>
      <c r="AA62" s="460" t="s">
        <v>275</v>
      </c>
      <c r="AB62" s="461">
        <f t="shared" si="16"/>
        <v>2144100</v>
      </c>
      <c r="AC62" s="462">
        <f>IFERROR(ROUNDDOWN(ROUNDDOWN(ROUND(L62*VLOOKUP(K62,【参考】数式用!$A$2:$M$57,MATCH("処遇改善加算Ⅳ",【参考】数式用!$G$3:$M$3,0)+6,0),0)*M62,0)*Z62*0.5,0), "")</f>
        <v>0</v>
      </c>
      <c r="AD62" s="156"/>
      <c r="AE62" s="157" t="s">
        <v>430</v>
      </c>
      <c r="AF62" s="157"/>
      <c r="AG62" s="158"/>
      <c r="AH62" s="159"/>
      <c r="AI62" s="160"/>
      <c r="AJ62" s="161" t="s">
        <v>392</v>
      </c>
      <c r="AK62" s="545" t="str">
        <f t="shared" si="17"/>
        <v/>
      </c>
      <c r="AL62" s="546" t="str">
        <f t="shared" si="0"/>
        <v/>
      </c>
      <c r="AM62" s="547"/>
      <c r="AN62" s="548" t="str">
        <f>IFERROR(VLOOKUP(K62,【参考】数式用!$A$2:$N$57,14,FALSE),"")</f>
        <v>加算対象外</v>
      </c>
      <c r="AO62" s="548" t="str">
        <f t="shared" si="1"/>
        <v>N列に色付け</v>
      </c>
      <c r="AP62" s="549" t="str">
        <f t="shared" si="18"/>
        <v/>
      </c>
      <c r="AQ62" s="549" t="str">
        <f t="shared" si="19"/>
        <v>キャリアパス要件Ⅰ・Ⅱ_加算対象外</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介護予防ケアマネジメントR8</v>
      </c>
      <c r="BC62" s="548" t="str">
        <f t="shared" si="9"/>
        <v>AJ列に色付け</v>
      </c>
      <c r="BD62" s="551" t="str">
        <f t="shared" si="38"/>
        <v>入力済</v>
      </c>
      <c r="BE62" s="551" t="str">
        <f t="shared" si="10"/>
        <v/>
      </c>
      <c r="BF62" s="551" t="str">
        <f t="shared" si="11"/>
        <v/>
      </c>
      <c r="BG62" s="551" t="str">
        <f t="shared" si="12"/>
        <v>入力必要</v>
      </c>
      <c r="BH62" s="551" t="str">
        <f t="shared" si="13"/>
        <v>入力済</v>
      </c>
      <c r="BI62" s="551" t="str">
        <f t="shared" si="14"/>
        <v>坂東市</v>
      </c>
    </row>
    <row r="63" spans="1:61" ht="109.95" customHeight="1" thickBot="1">
      <c r="A63" s="456">
        <v>52</v>
      </c>
      <c r="B63" s="724" t="str">
        <f>IF(基本情報入力シート!B91="","",基本情報入力シート!B91)</f>
        <v/>
      </c>
      <c r="C63" s="725"/>
      <c r="D63" s="725"/>
      <c r="E63" s="725"/>
      <c r="F63" s="72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724" t="str">
        <f>IF(基本情報入力シート!B92="","",基本情報入力シート!B92)</f>
        <v/>
      </c>
      <c r="C64" s="725"/>
      <c r="D64" s="725"/>
      <c r="E64" s="725"/>
      <c r="F64" s="72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724" t="str">
        <f>IF(基本情報入力シート!B93="","",基本情報入力シート!B93)</f>
        <v/>
      </c>
      <c r="C65" s="725"/>
      <c r="D65" s="725"/>
      <c r="E65" s="725"/>
      <c r="F65" s="72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724" t="str">
        <f>IF(基本情報入力シート!B94="","",基本情報入力シート!B94)</f>
        <v/>
      </c>
      <c r="C66" s="725"/>
      <c r="D66" s="725"/>
      <c r="E66" s="725"/>
      <c r="F66" s="72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724" t="str">
        <f>IF(基本情報入力シート!B95="","",基本情報入力シート!B95)</f>
        <v/>
      </c>
      <c r="C67" s="725"/>
      <c r="D67" s="725"/>
      <c r="E67" s="725"/>
      <c r="F67" s="72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724" t="str">
        <f>IF(基本情報入力シート!B96="","",基本情報入力シート!B96)</f>
        <v/>
      </c>
      <c r="C68" s="725"/>
      <c r="D68" s="725"/>
      <c r="E68" s="725"/>
      <c r="F68" s="72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724" t="str">
        <f>IF(基本情報入力シート!B97="","",基本情報入力シート!B97)</f>
        <v/>
      </c>
      <c r="C69" s="725"/>
      <c r="D69" s="725"/>
      <c r="E69" s="725"/>
      <c r="F69" s="72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724" t="str">
        <f>IF(基本情報入力シート!B98="","",基本情報入力シート!B98)</f>
        <v/>
      </c>
      <c r="C70" s="725"/>
      <c r="D70" s="725"/>
      <c r="E70" s="725"/>
      <c r="F70" s="72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724" t="str">
        <f>IF(基本情報入力シート!B99="","",基本情報入力シート!B99)</f>
        <v/>
      </c>
      <c r="C71" s="725"/>
      <c r="D71" s="725"/>
      <c r="E71" s="725"/>
      <c r="F71" s="72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724" t="str">
        <f>IF(基本情報入力シート!B100="","",基本情報入力シート!B100)</f>
        <v/>
      </c>
      <c r="C72" s="725"/>
      <c r="D72" s="725"/>
      <c r="E72" s="725"/>
      <c r="F72" s="72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724" t="str">
        <f>IF(基本情報入力シート!B101="","",基本情報入力シート!B101)</f>
        <v/>
      </c>
      <c r="C73" s="725"/>
      <c r="D73" s="725"/>
      <c r="E73" s="725"/>
      <c r="F73" s="72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724" t="str">
        <f>IF(基本情報入力シート!B102="","",基本情報入力シート!B102)</f>
        <v/>
      </c>
      <c r="C74" s="725"/>
      <c r="D74" s="725"/>
      <c r="E74" s="725"/>
      <c r="F74" s="72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724" t="str">
        <f>IF(基本情報入力シート!B103="","",基本情報入力シート!B103)</f>
        <v/>
      </c>
      <c r="C75" s="725"/>
      <c r="D75" s="725"/>
      <c r="E75" s="725"/>
      <c r="F75" s="72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724" t="str">
        <f>IF(基本情報入力シート!B104="","",基本情報入力シート!B104)</f>
        <v/>
      </c>
      <c r="C76" s="725"/>
      <c r="D76" s="725"/>
      <c r="E76" s="725"/>
      <c r="F76" s="72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724" t="str">
        <f>IF(基本情報入力シート!B105="","",基本情報入力シート!B105)</f>
        <v/>
      </c>
      <c r="C77" s="725"/>
      <c r="D77" s="725"/>
      <c r="E77" s="725"/>
      <c r="F77" s="72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724" t="str">
        <f>IF(基本情報入力シート!B106="","",基本情報入力シート!B106)</f>
        <v/>
      </c>
      <c r="C78" s="725"/>
      <c r="D78" s="725"/>
      <c r="E78" s="725"/>
      <c r="F78" s="72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724" t="str">
        <f>IF(基本情報入力シート!B107="","",基本情報入力シート!B107)</f>
        <v/>
      </c>
      <c r="C79" s="725"/>
      <c r="D79" s="725"/>
      <c r="E79" s="725"/>
      <c r="F79" s="72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724" t="str">
        <f>IF(基本情報入力シート!B108="","",基本情報入力シート!B108)</f>
        <v/>
      </c>
      <c r="C80" s="725"/>
      <c r="D80" s="725"/>
      <c r="E80" s="725"/>
      <c r="F80" s="72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724" t="str">
        <f>IF(基本情報入力シート!B109="","",基本情報入力シート!B109)</f>
        <v/>
      </c>
      <c r="C81" s="725"/>
      <c r="D81" s="725"/>
      <c r="E81" s="725"/>
      <c r="F81" s="72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724" t="str">
        <f>IF(基本情報入力シート!B110="","",基本情報入力シート!B110)</f>
        <v/>
      </c>
      <c r="C82" s="725"/>
      <c r="D82" s="725"/>
      <c r="E82" s="725"/>
      <c r="F82" s="72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724" t="str">
        <f>IF(基本情報入力シート!B111="","",基本情報入力シート!B111)</f>
        <v/>
      </c>
      <c r="C83" s="725"/>
      <c r="D83" s="725"/>
      <c r="E83" s="725"/>
      <c r="F83" s="72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724" t="str">
        <f>IF(基本情報入力シート!B112="","",基本情報入力シート!B112)</f>
        <v/>
      </c>
      <c r="C84" s="725"/>
      <c r="D84" s="725"/>
      <c r="E84" s="725"/>
      <c r="F84" s="72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724" t="str">
        <f>IF(基本情報入力シート!B113="","",基本情報入力シート!B113)</f>
        <v/>
      </c>
      <c r="C85" s="725"/>
      <c r="D85" s="725"/>
      <c r="E85" s="725"/>
      <c r="F85" s="72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724" t="str">
        <f>IF(基本情報入力シート!B114="","",基本情報入力シート!B114)</f>
        <v/>
      </c>
      <c r="C86" s="725"/>
      <c r="D86" s="725"/>
      <c r="E86" s="725"/>
      <c r="F86" s="72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724" t="str">
        <f>IF(基本情報入力シート!B115="","",基本情報入力シート!B115)</f>
        <v/>
      </c>
      <c r="C87" s="725"/>
      <c r="D87" s="725"/>
      <c r="E87" s="725"/>
      <c r="F87" s="72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724" t="str">
        <f>IF(基本情報入力シート!B116="","",基本情報入力シート!B116)</f>
        <v/>
      </c>
      <c r="C88" s="725"/>
      <c r="D88" s="725"/>
      <c r="E88" s="725"/>
      <c r="F88" s="72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724" t="str">
        <f>IF(基本情報入力シート!B117="","",基本情報入力シート!B117)</f>
        <v/>
      </c>
      <c r="C89" s="725"/>
      <c r="D89" s="725"/>
      <c r="E89" s="725"/>
      <c r="F89" s="72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724" t="str">
        <f>IF(基本情報入力シート!B118="","",基本情報入力シート!B118)</f>
        <v/>
      </c>
      <c r="C90" s="725"/>
      <c r="D90" s="725"/>
      <c r="E90" s="725"/>
      <c r="F90" s="72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724" t="str">
        <f>IF(基本情報入力シート!B119="","",基本情報入力シート!B119)</f>
        <v/>
      </c>
      <c r="C91" s="725"/>
      <c r="D91" s="725"/>
      <c r="E91" s="725"/>
      <c r="F91" s="72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724" t="str">
        <f>IF(基本情報入力シート!B120="","",基本情報入力シート!B120)</f>
        <v/>
      </c>
      <c r="C92" s="725"/>
      <c r="D92" s="725"/>
      <c r="E92" s="725"/>
      <c r="F92" s="72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724" t="str">
        <f>IF(基本情報入力シート!B121="","",基本情報入力シート!B121)</f>
        <v/>
      </c>
      <c r="C93" s="725"/>
      <c r="D93" s="725"/>
      <c r="E93" s="725"/>
      <c r="F93" s="72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724" t="str">
        <f>IF(基本情報入力シート!B122="","",基本情報入力シート!B122)</f>
        <v/>
      </c>
      <c r="C94" s="725"/>
      <c r="D94" s="725"/>
      <c r="E94" s="725"/>
      <c r="F94" s="72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724" t="str">
        <f>IF(基本情報入力シート!B123="","",基本情報入力シート!B123)</f>
        <v/>
      </c>
      <c r="C95" s="725"/>
      <c r="D95" s="725"/>
      <c r="E95" s="725"/>
      <c r="F95" s="72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724" t="str">
        <f>IF(基本情報入力シート!B124="","",基本情報入力シート!B124)</f>
        <v/>
      </c>
      <c r="C96" s="725"/>
      <c r="D96" s="725"/>
      <c r="E96" s="725"/>
      <c r="F96" s="72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724" t="str">
        <f>IF(基本情報入力シート!B125="","",基本情報入力シート!B125)</f>
        <v/>
      </c>
      <c r="C97" s="725"/>
      <c r="D97" s="725"/>
      <c r="E97" s="725"/>
      <c r="F97" s="72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724" t="str">
        <f>IF(基本情報入力シート!B126="","",基本情報入力シート!B126)</f>
        <v/>
      </c>
      <c r="C98" s="725"/>
      <c r="D98" s="725"/>
      <c r="E98" s="725"/>
      <c r="F98" s="72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724" t="str">
        <f>IF(基本情報入力シート!B127="","",基本情報入力シート!B127)</f>
        <v/>
      </c>
      <c r="C99" s="725"/>
      <c r="D99" s="725"/>
      <c r="E99" s="725"/>
      <c r="F99" s="72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724" t="str">
        <f>IF(基本情報入力シート!B128="","",基本情報入力シート!B128)</f>
        <v/>
      </c>
      <c r="C100" s="725"/>
      <c r="D100" s="725"/>
      <c r="E100" s="725"/>
      <c r="F100" s="72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724" t="str">
        <f>IF(基本情報入力シート!B129="","",基本情報入力シート!B129)</f>
        <v/>
      </c>
      <c r="C101" s="725"/>
      <c r="D101" s="725"/>
      <c r="E101" s="725"/>
      <c r="F101" s="72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724" t="str">
        <f>IF(基本情報入力シート!B130="","",基本情報入力シート!B130)</f>
        <v/>
      </c>
      <c r="C102" s="725"/>
      <c r="D102" s="725"/>
      <c r="E102" s="725"/>
      <c r="F102" s="72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724" t="str">
        <f>IF(基本情報入力シート!B131="","",基本情報入力シート!B131)</f>
        <v/>
      </c>
      <c r="C103" s="725"/>
      <c r="D103" s="725"/>
      <c r="E103" s="725"/>
      <c r="F103" s="72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724" t="str">
        <f>IF(基本情報入力シート!B132="","",基本情報入力シート!B132)</f>
        <v/>
      </c>
      <c r="C104" s="725"/>
      <c r="D104" s="725"/>
      <c r="E104" s="725"/>
      <c r="F104" s="72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724" t="str">
        <f>IF(基本情報入力シート!B133="","",基本情報入力シート!B133)</f>
        <v/>
      </c>
      <c r="C105" s="725"/>
      <c r="D105" s="725"/>
      <c r="E105" s="725"/>
      <c r="F105" s="72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724" t="str">
        <f>IF(基本情報入力シート!B134="","",基本情報入力シート!B134)</f>
        <v/>
      </c>
      <c r="C106" s="725"/>
      <c r="D106" s="725"/>
      <c r="E106" s="725"/>
      <c r="F106" s="72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724" t="str">
        <f>IF(基本情報入力シート!B135="","",基本情報入力シート!B135)</f>
        <v/>
      </c>
      <c r="C107" s="725"/>
      <c r="D107" s="725"/>
      <c r="E107" s="725"/>
      <c r="F107" s="72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724" t="str">
        <f>IF(基本情報入力シート!B136="","",基本情報入力シート!B136)</f>
        <v/>
      </c>
      <c r="C108" s="725"/>
      <c r="D108" s="725"/>
      <c r="E108" s="725"/>
      <c r="F108" s="72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724" t="str">
        <f>IF(基本情報入力シート!B137="","",基本情報入力シート!B137)</f>
        <v/>
      </c>
      <c r="C109" s="725"/>
      <c r="D109" s="725"/>
      <c r="E109" s="725"/>
      <c r="F109" s="72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724" t="str">
        <f>IF(基本情報入力シート!B138="","",基本情報入力シート!B138)</f>
        <v/>
      </c>
      <c r="C110" s="725"/>
      <c r="D110" s="725"/>
      <c r="E110" s="725"/>
      <c r="F110" s="72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727" t="str">
        <f>IF(基本情報入力シート!B139="","",基本情報入力シート!B139)</f>
        <v/>
      </c>
      <c r="C111" s="728"/>
      <c r="D111" s="728"/>
      <c r="E111" s="728"/>
      <c r="F111" s="72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5" t="s">
        <v>7</v>
      </c>
      <c r="AD1" s="845"/>
      <c r="AE1" s="845"/>
      <c r="AF1" s="845" t="str">
        <f>IF(基本情報入力シート!C11="","",基本情報入力シート!C11)</f>
        <v>茨城県</v>
      </c>
      <c r="AG1" s="845"/>
      <c r="AH1" s="845"/>
      <c r="AI1" s="845"/>
      <c r="AJ1" s="845"/>
      <c r="AK1" s="84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1" t="s">
        <v>51</v>
      </c>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861"/>
      <c r="AJ3" s="861"/>
      <c r="AK3" s="861"/>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2" t="s">
        <v>11</v>
      </c>
      <c r="C5" s="862"/>
      <c r="D5" s="862"/>
      <c r="E5" s="862"/>
      <c r="F5" s="862"/>
      <c r="G5" s="862"/>
      <c r="H5" s="822" t="str">
        <f>IF(基本情報入力シート!L15="","",基本情報入力シート!L15)</f>
        <v>シャカイフクシホウジン　チョウフク</v>
      </c>
      <c r="I5" s="822"/>
      <c r="J5" s="822"/>
      <c r="K5" s="822"/>
      <c r="L5" s="822"/>
      <c r="M5" s="822"/>
      <c r="N5" s="822"/>
      <c r="O5" s="822"/>
      <c r="P5" s="822"/>
      <c r="Q5" s="822"/>
      <c r="R5" s="822"/>
      <c r="S5" s="822"/>
      <c r="T5" s="822"/>
      <c r="U5" s="822"/>
      <c r="V5" s="822"/>
      <c r="W5" s="822"/>
      <c r="X5" s="822"/>
      <c r="Y5" s="822"/>
      <c r="Z5" s="822"/>
      <c r="AA5" s="822"/>
      <c r="AB5" s="822"/>
      <c r="AC5" s="822"/>
      <c r="AD5" s="822"/>
      <c r="AE5" s="822"/>
      <c r="AF5" s="822"/>
      <c r="AG5" s="822"/>
      <c r="AH5" s="822"/>
      <c r="AI5" s="822"/>
      <c r="AJ5" s="822"/>
      <c r="AK5" s="823"/>
      <c r="AL5" s="248"/>
      <c r="AM5" s="248"/>
      <c r="AN5" s="248"/>
      <c r="AO5" s="248"/>
      <c r="AP5" s="248"/>
      <c r="AQ5" s="248"/>
      <c r="AR5" s="248"/>
      <c r="AS5" s="248"/>
      <c r="AT5" s="248"/>
      <c r="AU5" s="248"/>
      <c r="AV5" s="248"/>
      <c r="AW5" s="248"/>
      <c r="AX5" s="248"/>
      <c r="AY5" s="248"/>
    </row>
    <row r="6" spans="1:51" s="12" customFormat="1" ht="25.5" customHeight="1">
      <c r="A6" s="248"/>
      <c r="B6" s="831" t="s">
        <v>53</v>
      </c>
      <c r="C6" s="831"/>
      <c r="D6" s="831"/>
      <c r="E6" s="831"/>
      <c r="F6" s="831"/>
      <c r="G6" s="831"/>
      <c r="H6" s="832" t="str">
        <f>IF(基本情報入力シート!L16="","",基本情報入力シート!L16)</f>
        <v>社会福祉法人　長福</v>
      </c>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3"/>
      <c r="AL6" s="248"/>
      <c r="AM6" s="248"/>
      <c r="AN6" s="248"/>
      <c r="AO6" s="248"/>
      <c r="AP6" s="248"/>
      <c r="AQ6" s="248"/>
      <c r="AR6" s="248"/>
      <c r="AS6" s="248"/>
      <c r="AT6" s="248"/>
      <c r="AU6" s="248"/>
      <c r="AV6" s="248"/>
      <c r="AW6" s="248"/>
      <c r="AX6" s="248"/>
      <c r="AY6" s="248"/>
    </row>
    <row r="7" spans="1:51" s="12" customFormat="1" ht="12.75" customHeight="1">
      <c r="A7" s="248"/>
      <c r="B7" s="834" t="s">
        <v>54</v>
      </c>
      <c r="C7" s="834"/>
      <c r="D7" s="834"/>
      <c r="E7" s="834"/>
      <c r="F7" s="834"/>
      <c r="G7" s="834"/>
      <c r="H7" s="249" t="s">
        <v>14</v>
      </c>
      <c r="I7" s="835" t="str">
        <f>IF(基本情報入力シート!AO18="－","",基本情報入力シート!AO18)</f>
        <v>310-8555</v>
      </c>
      <c r="J7" s="835"/>
      <c r="K7" s="835"/>
      <c r="L7" s="83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34"/>
      <c r="C8" s="834"/>
      <c r="D8" s="834"/>
      <c r="E8" s="834"/>
      <c r="F8" s="834"/>
      <c r="G8" s="834"/>
      <c r="H8" s="836" t="str">
        <f>IF(基本情報入力シート!L18="","",基本情報入力シート!L18)</f>
        <v>茨城県水戸市笠原町978-6</v>
      </c>
      <c r="I8" s="836"/>
      <c r="J8" s="836"/>
      <c r="K8" s="836"/>
      <c r="L8" s="836"/>
      <c r="M8" s="836"/>
      <c r="N8" s="836"/>
      <c r="O8" s="836"/>
      <c r="P8" s="836"/>
      <c r="Q8" s="836"/>
      <c r="R8" s="836"/>
      <c r="S8" s="836"/>
      <c r="T8" s="836"/>
      <c r="U8" s="836"/>
      <c r="V8" s="836"/>
      <c r="W8" s="836"/>
      <c r="X8" s="836"/>
      <c r="Y8" s="836"/>
      <c r="Z8" s="836"/>
      <c r="AA8" s="836"/>
      <c r="AB8" s="836"/>
      <c r="AC8" s="836"/>
      <c r="AD8" s="836"/>
      <c r="AE8" s="836"/>
      <c r="AF8" s="836"/>
      <c r="AG8" s="836"/>
      <c r="AH8" s="836"/>
      <c r="AI8" s="836"/>
      <c r="AJ8" s="836"/>
      <c r="AK8" s="836"/>
      <c r="AL8" s="248"/>
      <c r="AM8" s="248"/>
      <c r="AN8" s="248"/>
      <c r="AO8" s="248"/>
      <c r="AP8" s="248"/>
      <c r="AQ8" s="248"/>
      <c r="AR8" s="248"/>
      <c r="AS8" s="248"/>
      <c r="AT8" s="248"/>
      <c r="AU8" s="248"/>
      <c r="AV8" s="248"/>
      <c r="AW8" s="248"/>
      <c r="AX8" s="248"/>
      <c r="AY8" s="248" t="b">
        <v>1</v>
      </c>
    </row>
    <row r="9" spans="1:51" s="12" customFormat="1" ht="16.5" customHeight="1">
      <c r="A9" s="248"/>
      <c r="B9" s="834"/>
      <c r="C9" s="834"/>
      <c r="D9" s="834"/>
      <c r="E9" s="834"/>
      <c r="F9" s="834"/>
      <c r="G9" s="834"/>
      <c r="H9" s="837" t="str">
        <f>IF(基本情報入力シート!L19="","",基本情報入力シート!L19)</f>
        <v>○○ビル○○号室</v>
      </c>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8"/>
      <c r="AL9" s="248"/>
      <c r="AM9" s="248"/>
      <c r="AN9" s="248"/>
      <c r="AO9" s="248"/>
      <c r="AP9" s="248"/>
      <c r="AQ9" s="248"/>
      <c r="AR9" s="248"/>
      <c r="AS9" s="248"/>
      <c r="AT9" s="248"/>
      <c r="AU9" s="248"/>
      <c r="AV9" s="248"/>
      <c r="AW9" s="248"/>
      <c r="AX9" s="248"/>
      <c r="AY9" s="248"/>
    </row>
    <row r="10" spans="1:51" s="12" customFormat="1" ht="13.5" customHeight="1">
      <c r="A10" s="248"/>
      <c r="B10" s="821" t="s">
        <v>11</v>
      </c>
      <c r="C10" s="821"/>
      <c r="D10" s="821"/>
      <c r="E10" s="821"/>
      <c r="F10" s="821"/>
      <c r="G10" s="821"/>
      <c r="H10" s="822" t="str">
        <f>IF(基本情報入力シート!L23="","",基本情報入力シート!L23)</f>
        <v>チョウフク　ジロウ</v>
      </c>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3"/>
      <c r="AL10" s="248"/>
      <c r="AM10" s="248"/>
      <c r="AN10" s="248"/>
      <c r="AO10" s="248"/>
      <c r="AP10" s="248"/>
      <c r="AQ10" s="248"/>
      <c r="AR10" s="248"/>
      <c r="AS10" s="248"/>
      <c r="AT10" s="248"/>
      <c r="AU10" s="248"/>
      <c r="AV10" s="248"/>
      <c r="AW10" s="248"/>
      <c r="AX10" s="248"/>
      <c r="AY10" s="248"/>
    </row>
    <row r="11" spans="1:51" s="12" customFormat="1" ht="22.5" customHeight="1">
      <c r="A11" s="248"/>
      <c r="B11" s="824" t="s">
        <v>55</v>
      </c>
      <c r="C11" s="824"/>
      <c r="D11" s="824"/>
      <c r="E11" s="824"/>
      <c r="F11" s="824"/>
      <c r="G11" s="824"/>
      <c r="H11" s="825" t="str">
        <f>IF(基本情報入力シート!L24="","",基本情報入力シート!L24)</f>
        <v>長福　二郎</v>
      </c>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6"/>
      <c r="AL11" s="248"/>
      <c r="AM11" s="248"/>
      <c r="AN11" s="248"/>
      <c r="AO11" s="248"/>
      <c r="AP11" s="248"/>
      <c r="AQ11" s="248"/>
      <c r="AR11" s="248"/>
      <c r="AS11" s="248"/>
      <c r="AT11" s="248"/>
      <c r="AU11" s="248"/>
      <c r="AV11" s="248"/>
      <c r="AW11" s="248"/>
      <c r="AX11" s="248"/>
      <c r="AY11" s="248"/>
    </row>
    <row r="12" spans="1:51" s="12" customFormat="1" ht="18.75" customHeight="1">
      <c r="A12" s="248"/>
      <c r="B12" s="827" t="s">
        <v>56</v>
      </c>
      <c r="C12" s="827"/>
      <c r="D12" s="827"/>
      <c r="E12" s="827"/>
      <c r="F12" s="827"/>
      <c r="G12" s="827"/>
      <c r="H12" s="827" t="s">
        <v>25</v>
      </c>
      <c r="I12" s="828"/>
      <c r="J12" s="828"/>
      <c r="K12" s="828"/>
      <c r="L12" s="829" t="str">
        <f>IF(基本情報入力シート!L25="","",基本情報入力シート!L25)</f>
        <v>000-0000-0000</v>
      </c>
      <c r="M12" s="829"/>
      <c r="N12" s="829"/>
      <c r="O12" s="829"/>
      <c r="P12" s="829"/>
      <c r="Q12" s="829"/>
      <c r="R12" s="829"/>
      <c r="S12" s="829"/>
      <c r="T12" s="829"/>
      <c r="U12" s="829"/>
      <c r="V12" s="830" t="s">
        <v>26</v>
      </c>
      <c r="W12" s="830"/>
      <c r="X12" s="830"/>
      <c r="Y12" s="830"/>
      <c r="Z12" s="829" t="str">
        <f>IF(基本情報入力シート!L26="","",基本情報入力シート!L26)</f>
        <v>aaa@aaa.com</v>
      </c>
      <c r="AA12" s="829"/>
      <c r="AB12" s="829"/>
      <c r="AC12" s="829"/>
      <c r="AD12" s="829"/>
      <c r="AE12" s="829"/>
      <c r="AF12" s="829"/>
      <c r="AG12" s="829"/>
      <c r="AH12" s="829"/>
      <c r="AI12" s="829"/>
      <c r="AJ12" s="829"/>
      <c r="AK12" s="84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17" t="s">
        <v>58</v>
      </c>
      <c r="C15" s="817"/>
      <c r="D15" s="817"/>
      <c r="E15" s="817"/>
      <c r="F15" s="817"/>
      <c r="G15" s="817"/>
      <c r="H15" s="817"/>
      <c r="I15" s="817"/>
      <c r="J15" s="817"/>
      <c r="K15" s="817"/>
      <c r="L15" s="817"/>
      <c r="M15" s="817"/>
      <c r="N15" s="817"/>
      <c r="O15" s="817"/>
      <c r="P15" s="817"/>
      <c r="Q15" s="817"/>
      <c r="R15" s="817"/>
      <c r="S15" s="817"/>
      <c r="T15" s="817"/>
      <c r="U15" s="817"/>
      <c r="V15" s="817"/>
      <c r="W15" s="818"/>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19" t="s">
        <v>60</v>
      </c>
      <c r="D16" s="819"/>
      <c r="E16" s="819"/>
      <c r="F16" s="819"/>
      <c r="G16" s="819"/>
      <c r="H16" s="819"/>
      <c r="I16" s="819"/>
      <c r="J16" s="819"/>
      <c r="K16" s="819"/>
      <c r="L16" s="819"/>
      <c r="M16" s="819"/>
      <c r="N16" s="819"/>
      <c r="O16" s="819"/>
      <c r="P16" s="819"/>
      <c r="Q16" s="820">
        <f>SUM('別紙様式2-2（個票（４、５月））'!L5:M5,'別紙様式2-3（個票（６月以降））'!K6)</f>
        <v>703420226</v>
      </c>
      <c r="R16" s="820"/>
      <c r="S16" s="820"/>
      <c r="T16" s="820"/>
      <c r="U16" s="820"/>
      <c r="V16" s="820"/>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49999999999997" customHeight="1" thickBot="1">
      <c r="A17" s="15"/>
      <c r="B17" s="256" t="s">
        <v>62</v>
      </c>
      <c r="C17" s="839" t="s">
        <v>63</v>
      </c>
      <c r="D17" s="839"/>
      <c r="E17" s="839"/>
      <c r="F17" s="839"/>
      <c r="G17" s="839"/>
      <c r="H17" s="839"/>
      <c r="I17" s="839"/>
      <c r="J17" s="839"/>
      <c r="K17" s="839"/>
      <c r="L17" s="839"/>
      <c r="M17" s="839"/>
      <c r="N17" s="839"/>
      <c r="O17" s="839"/>
      <c r="P17" s="839"/>
      <c r="Q17" s="840">
        <v>705000000</v>
      </c>
      <c r="R17" s="840"/>
      <c r="S17" s="840"/>
      <c r="T17" s="840"/>
      <c r="U17" s="840"/>
      <c r="V17" s="840"/>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16" t="s">
        <v>67</v>
      </c>
      <c r="D20" s="816"/>
      <c r="E20" s="816"/>
      <c r="F20" s="816"/>
      <c r="G20" s="816"/>
      <c r="H20" s="816"/>
      <c r="I20" s="816"/>
      <c r="J20" s="816"/>
      <c r="K20" s="816"/>
      <c r="L20" s="816"/>
      <c r="M20" s="816"/>
      <c r="N20" s="816"/>
      <c r="O20" s="816"/>
      <c r="P20" s="816"/>
      <c r="Q20" s="816"/>
      <c r="R20" s="816"/>
      <c r="S20" s="816"/>
      <c r="T20" s="816"/>
      <c r="U20" s="816"/>
      <c r="V20" s="816"/>
      <c r="W20" s="816"/>
      <c r="X20" s="816"/>
      <c r="Y20" s="816"/>
      <c r="Z20" s="816"/>
      <c r="AA20" s="816"/>
      <c r="AB20" s="816"/>
      <c r="AC20" s="816"/>
      <c r="AD20" s="816"/>
      <c r="AE20" s="816"/>
      <c r="AF20" s="816"/>
      <c r="AG20" s="816"/>
      <c r="AH20" s="816"/>
      <c r="AI20" s="816"/>
      <c r="AJ20" s="816"/>
      <c r="AK20" s="816"/>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54" t="s">
        <v>68</v>
      </c>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15"/>
      <c r="AM22" s="15"/>
      <c r="AN22" s="15"/>
      <c r="AO22" s="15"/>
      <c r="AP22" s="15"/>
      <c r="AQ22" s="15"/>
      <c r="AR22" s="15"/>
      <c r="AS22" s="15"/>
      <c r="AT22" s="15"/>
      <c r="AU22" s="15"/>
      <c r="AV22" s="15"/>
      <c r="AW22" s="15"/>
      <c r="AX22" s="15"/>
      <c r="AY22" s="15"/>
    </row>
    <row r="23" spans="1:60" ht="19.2" customHeight="1" thickBot="1">
      <c r="A23" s="15"/>
      <c r="B23" s="855" t="s">
        <v>69</v>
      </c>
      <c r="C23" s="855"/>
      <c r="D23" s="855"/>
      <c r="E23" s="855"/>
      <c r="F23" s="855"/>
      <c r="G23" s="855"/>
      <c r="H23" s="855"/>
      <c r="I23" s="855"/>
      <c r="J23" s="855"/>
      <c r="K23" s="855"/>
      <c r="L23" s="855"/>
      <c r="M23" s="855"/>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c r="AK23" s="855"/>
      <c r="AL23" s="15"/>
      <c r="AM23" s="15"/>
      <c r="AN23" s="15"/>
      <c r="AO23" s="15"/>
      <c r="AP23" s="15"/>
      <c r="AQ23" s="15"/>
      <c r="AR23" s="15"/>
      <c r="AS23" s="269"/>
      <c r="AT23" s="15"/>
      <c r="AU23" s="15"/>
      <c r="AV23" s="15"/>
      <c r="AW23" s="15"/>
      <c r="AX23" s="15"/>
      <c r="AY23" s="15"/>
    </row>
    <row r="24" spans="1:60" ht="18" customHeight="1" thickBot="1">
      <c r="A24" s="15"/>
      <c r="B24" s="807" t="s">
        <v>70</v>
      </c>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19" t="s">
        <v>71</v>
      </c>
      <c r="D25" s="819"/>
      <c r="E25" s="819"/>
      <c r="F25" s="819"/>
      <c r="G25" s="819"/>
      <c r="H25" s="819"/>
      <c r="I25" s="819"/>
      <c r="J25" s="819"/>
      <c r="K25" s="819"/>
      <c r="L25" s="819"/>
      <c r="M25" s="819"/>
      <c r="N25" s="819"/>
      <c r="O25" s="819"/>
      <c r="P25" s="819"/>
      <c r="Q25" s="819"/>
      <c r="R25" s="819"/>
      <c r="S25" s="819"/>
      <c r="T25" s="856">
        <f>SUM('別紙様式2-2（個票（４、５月））'!L6:L6,'別紙様式2-3（個票（６月以降））'!K7)</f>
        <v>242477174</v>
      </c>
      <c r="U25" s="856"/>
      <c r="V25" s="856"/>
      <c r="W25" s="856"/>
      <c r="X25" s="856"/>
      <c r="Y25" s="856"/>
      <c r="Z25" s="274" t="s">
        <v>61</v>
      </c>
      <c r="AA25" s="275" t="s">
        <v>64</v>
      </c>
      <c r="AB25" s="857" t="str">
        <f>IF(H6="", "", IFERROR(IF(T26&gt;=T25,"○","×"),""))</f>
        <v>○</v>
      </c>
      <c r="AC25" s="276"/>
      <c r="AD25" s="277"/>
      <c r="AE25" s="277"/>
      <c r="AF25" s="277"/>
      <c r="AG25" s="277"/>
      <c r="AH25" s="277"/>
      <c r="AI25" s="277"/>
      <c r="AJ25" s="277"/>
      <c r="AK25" s="277"/>
      <c r="AL25" s="15"/>
      <c r="AM25" s="847" t="s">
        <v>72</v>
      </c>
      <c r="AN25" s="848"/>
      <c r="AO25" s="848"/>
      <c r="AP25" s="848"/>
      <c r="AQ25" s="848"/>
      <c r="AR25" s="848"/>
      <c r="AS25" s="848"/>
      <c r="AT25" s="848"/>
      <c r="AU25" s="848"/>
      <c r="AV25" s="848"/>
      <c r="AW25" s="848"/>
      <c r="AX25" s="848"/>
      <c r="AY25" s="849"/>
    </row>
    <row r="26" spans="1:60" ht="28.5" customHeight="1" thickBot="1">
      <c r="A26" s="15"/>
      <c r="B26" s="273" t="s">
        <v>62</v>
      </c>
      <c r="C26" s="842" t="s">
        <v>73</v>
      </c>
      <c r="D26" s="842"/>
      <c r="E26" s="842"/>
      <c r="F26" s="842"/>
      <c r="G26" s="842"/>
      <c r="H26" s="842"/>
      <c r="I26" s="842"/>
      <c r="J26" s="842"/>
      <c r="K26" s="842"/>
      <c r="L26" s="842"/>
      <c r="M26" s="842"/>
      <c r="N26" s="842"/>
      <c r="O26" s="842"/>
      <c r="P26" s="842"/>
      <c r="Q26" s="842"/>
      <c r="R26" s="842"/>
      <c r="S26" s="842"/>
      <c r="T26" s="843">
        <v>245000000</v>
      </c>
      <c r="U26" s="843"/>
      <c r="V26" s="843"/>
      <c r="W26" s="843"/>
      <c r="X26" s="843"/>
      <c r="Y26" s="844"/>
      <c r="Z26" s="278" t="s">
        <v>61</v>
      </c>
      <c r="AA26" s="275" t="s">
        <v>64</v>
      </c>
      <c r="AB26" s="858"/>
      <c r="AC26" s="276"/>
      <c r="AD26" s="277"/>
      <c r="AE26" s="277"/>
      <c r="AF26" s="277"/>
      <c r="AG26" s="277"/>
      <c r="AH26" s="277"/>
      <c r="AI26" s="277"/>
      <c r="AJ26" s="277"/>
      <c r="AK26" s="277"/>
      <c r="AL26" s="15"/>
      <c r="AM26" s="850"/>
      <c r="AN26" s="851"/>
      <c r="AO26" s="851"/>
      <c r="AP26" s="851"/>
      <c r="AQ26" s="851"/>
      <c r="AR26" s="851"/>
      <c r="AS26" s="851"/>
      <c r="AT26" s="851"/>
      <c r="AU26" s="851"/>
      <c r="AV26" s="851"/>
      <c r="AW26" s="851"/>
      <c r="AX26" s="851"/>
      <c r="AY26" s="85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53" t="s">
        <v>74</v>
      </c>
      <c r="D29" s="853"/>
      <c r="E29" s="853"/>
      <c r="F29" s="853"/>
      <c r="G29" s="853"/>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55" customHeight="1" thickBot="1">
      <c r="A31" s="284"/>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4"/>
      <c r="AM31" s="285"/>
      <c r="AN31" s="285"/>
      <c r="AO31" s="285"/>
      <c r="AP31" s="285"/>
      <c r="AQ31" s="285"/>
      <c r="AR31" s="285"/>
      <c r="AS31" s="285"/>
      <c r="AT31" s="285"/>
      <c r="AU31" s="285"/>
      <c r="AV31" s="285"/>
      <c r="AW31" s="285"/>
      <c r="AX31" s="285"/>
      <c r="AY31" s="285"/>
      <c r="BA31" s="802" t="s">
        <v>78</v>
      </c>
      <c r="BB31" s="802"/>
      <c r="BC31" s="802"/>
      <c r="BD31" s="802"/>
      <c r="BE31" s="802" t="s">
        <v>79</v>
      </c>
      <c r="BF31" s="802"/>
      <c r="BG31" s="802"/>
      <c r="BH31" s="802"/>
    </row>
    <row r="32" spans="1:60" s="12" customFormat="1" ht="18" customHeight="1" thickBot="1">
      <c r="A32" s="248"/>
      <c r="B32" s="807" t="s">
        <v>80</v>
      </c>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807"/>
      <c r="AI32" s="807"/>
      <c r="AJ32" s="807"/>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03">
        <f>COUNTIF('別紙様式2-2（個票（４、５月））'!N:N,"処遇改善加算Ⅰ")+COUNTIF('別紙様式2-2（個票（４、５月））'!N:N,"処遇改善加算Ⅱ")+COUNTIF('別紙様式2-2（個票（４、５月））'!N:N,"処遇改善加算Ⅲ")+COUNTIF('別紙様式2-2（個票（４、５月））'!N:N,"処遇改善加算Ⅳ")</f>
        <v>44</v>
      </c>
      <c r="BB32" s="803"/>
      <c r="BC32" s="803"/>
      <c r="BD32" s="803"/>
      <c r="BE32" s="80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51</v>
      </c>
      <c r="BF32" s="803"/>
      <c r="BG32" s="803"/>
      <c r="BH32" s="803"/>
    </row>
    <row r="33" spans="1:60" s="12" customFormat="1" ht="33" customHeight="1" thickBot="1">
      <c r="A33" s="248"/>
      <c r="B33" s="806" t="s">
        <v>81</v>
      </c>
      <c r="C33" s="807"/>
      <c r="D33" s="807"/>
      <c r="E33" s="807"/>
      <c r="F33" s="807"/>
      <c r="G33" s="807"/>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398" t="s">
        <v>2602</v>
      </c>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59"/>
      <c r="C34" s="859"/>
      <c r="D34" s="859"/>
      <c r="E34" s="859"/>
      <c r="F34" s="859"/>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683" t="s">
        <v>82</v>
      </c>
      <c r="C35" s="860"/>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860"/>
      <c r="AG35" s="860"/>
      <c r="AH35" s="860"/>
      <c r="AI35" s="860"/>
      <c r="AJ35" s="860"/>
      <c r="AK35" s="860"/>
      <c r="AL35" s="248"/>
      <c r="AM35" s="285"/>
      <c r="AN35" s="285"/>
      <c r="AO35" s="285"/>
      <c r="AP35" s="285"/>
      <c r="AQ35" s="285"/>
      <c r="AR35" s="285"/>
      <c r="AS35" s="285"/>
      <c r="AT35" s="285"/>
      <c r="AU35" s="285"/>
      <c r="AV35" s="285"/>
      <c r="AW35" s="285"/>
      <c r="AX35" s="285"/>
      <c r="AY35" s="285"/>
      <c r="BA35" s="802" t="s">
        <v>83</v>
      </c>
      <c r="BB35" s="802"/>
      <c r="BC35" s="802"/>
      <c r="BD35" s="802"/>
      <c r="BE35" s="802" t="s">
        <v>83</v>
      </c>
      <c r="BF35" s="802"/>
      <c r="BG35" s="802"/>
      <c r="BH35" s="802"/>
    </row>
    <row r="36" spans="1:60" s="12" customFormat="1" ht="18" customHeight="1" thickBot="1">
      <c r="A36" s="248"/>
      <c r="B36" s="806" t="s">
        <v>84</v>
      </c>
      <c r="C36" s="806"/>
      <c r="D36" s="806"/>
      <c r="E36" s="806"/>
      <c r="F36" s="806"/>
      <c r="G36" s="806"/>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03">
        <f>COUNTIF('別紙様式2-2（個票（４、５月））'!N:N,"処遇改善加算Ⅰ")+COUNTIF('別紙様式2-2（個票（４、５月））'!N:N,"処遇改善加算Ⅱ")+COUNTIF('別紙様式2-2（個票（４、５月））'!N:N,"処遇改善加算Ⅲ")</f>
        <v>39</v>
      </c>
      <c r="BB36" s="803"/>
      <c r="BC36" s="803"/>
      <c r="BD36" s="803"/>
      <c r="BE36" s="803">
        <f>COUNTIF('別紙様式2-3（個票（６月以降））'!N:N,"*処遇改善加算Ⅰ*")+COUNTIF('別紙様式2-3（個票（６月以降））'!N:N,"*処遇改善加算Ⅱ*")+COUNTIF('別紙様式2-3（個票（６月以降））'!N:N,"処遇改善加算Ⅲ")</f>
        <v>39</v>
      </c>
      <c r="BF36" s="803"/>
      <c r="BG36" s="803"/>
      <c r="BH36" s="803"/>
    </row>
    <row r="37" spans="1:60" s="12" customFormat="1" ht="30.6" customHeight="1" thickBot="1">
      <c r="A37" s="248"/>
      <c r="B37" s="806" t="s">
        <v>85</v>
      </c>
      <c r="C37" s="807"/>
      <c r="D37" s="807"/>
      <c r="E37" s="807"/>
      <c r="F37" s="807"/>
      <c r="G37" s="807"/>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398" t="s">
        <v>2602</v>
      </c>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55" customHeight="1" thickBot="1">
      <c r="A39" s="248"/>
      <c r="B39" s="810" t="s">
        <v>86</v>
      </c>
      <c r="C39" s="811"/>
      <c r="D39" s="811"/>
      <c r="E39" s="811"/>
      <c r="F39" s="811"/>
      <c r="G39" s="811"/>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248"/>
      <c r="AM39" s="248"/>
      <c r="AN39" s="248"/>
      <c r="AO39" s="248"/>
      <c r="AP39" s="248"/>
      <c r="AQ39" s="248"/>
      <c r="AR39" s="248"/>
      <c r="AS39" s="248"/>
      <c r="AT39" s="248"/>
      <c r="AU39" s="248"/>
      <c r="AV39" s="248"/>
      <c r="AW39" s="248"/>
      <c r="AX39" s="248"/>
      <c r="AY39" s="248"/>
      <c r="BA39" s="803" t="s">
        <v>87</v>
      </c>
      <c r="BB39" s="803"/>
      <c r="BC39" s="803"/>
      <c r="BD39" s="803"/>
      <c r="BE39" s="803" t="s">
        <v>87</v>
      </c>
      <c r="BF39" s="803"/>
      <c r="BG39" s="803"/>
      <c r="BH39" s="803"/>
    </row>
    <row r="40" spans="1:60" ht="18" customHeight="1" thickBot="1">
      <c r="A40" s="15"/>
      <c r="B40" s="813" t="s">
        <v>88</v>
      </c>
      <c r="C40" s="813"/>
      <c r="D40" s="813"/>
      <c r="E40" s="813"/>
      <c r="F40" s="813"/>
      <c r="G40" s="813"/>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02">
        <f>COUNTIF('別紙様式2-2（個票（４、５月））'!N:N,"処遇改善加算Ⅰ")+COUNTIF('別紙様式2-2（個票（４、５月））'!N:N,"処遇改善加算Ⅱ")</f>
        <v>35</v>
      </c>
      <c r="BB40" s="802"/>
      <c r="BC40" s="802"/>
      <c r="BD40" s="802"/>
      <c r="BE40" s="803">
        <f>COUNTIF('別紙様式2-3（個票（６月以降））'!N:N,"*処遇改善加算Ⅰ*")+COUNTIF('別紙様式2-3（個票（６月以降））'!N:N,"*処遇改善加算Ⅱ*")</f>
        <v>35</v>
      </c>
      <c r="BF40" s="803"/>
      <c r="BG40" s="803"/>
      <c r="BH40" s="803"/>
    </row>
    <row r="41" spans="1:60" ht="30.6" customHeight="1" thickBot="1">
      <c r="A41" s="15"/>
      <c r="B41" s="806" t="s">
        <v>89</v>
      </c>
      <c r="C41" s="807"/>
      <c r="D41" s="807"/>
      <c r="E41" s="807"/>
      <c r="F41" s="807"/>
      <c r="G41" s="807"/>
      <c r="H41" s="807"/>
      <c r="I41" s="807"/>
      <c r="J41" s="807"/>
      <c r="K41" s="807"/>
      <c r="L41" s="807"/>
      <c r="M41" s="807"/>
      <c r="N41" s="807"/>
      <c r="O41" s="807"/>
      <c r="P41" s="807"/>
      <c r="Q41" s="807"/>
      <c r="R41" s="807"/>
      <c r="S41" s="807"/>
      <c r="T41" s="807"/>
      <c r="U41" s="807"/>
      <c r="V41" s="807"/>
      <c r="W41" s="807"/>
      <c r="X41" s="807"/>
      <c r="Y41" s="807"/>
      <c r="Z41" s="807"/>
      <c r="AA41" s="807"/>
      <c r="AB41" s="807"/>
      <c r="AC41" s="807"/>
      <c r="AD41" s="807"/>
      <c r="AE41" s="807"/>
      <c r="AF41" s="807"/>
      <c r="AG41" s="807"/>
      <c r="AH41" s="807"/>
      <c r="AI41" s="807"/>
      <c r="AJ41" s="80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14" t="s">
        <v>92</v>
      </c>
      <c r="AN44" s="814"/>
      <c r="AO44" s="814"/>
      <c r="AP44" s="814"/>
      <c r="AQ44" s="814"/>
      <c r="AR44" s="814"/>
      <c r="AS44" s="814"/>
      <c r="AT44" s="814"/>
      <c r="AU44" s="814"/>
      <c r="AV44" s="814"/>
      <c r="AW44" s="814"/>
      <c r="AX44" s="814"/>
      <c r="AY44" s="81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815" t="s">
        <v>95</v>
      </c>
      <c r="E47" s="815"/>
      <c r="F47" s="815"/>
      <c r="G47" s="815"/>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08"/>
      <c r="H48" s="808"/>
      <c r="I48" s="808"/>
      <c r="J48" s="808"/>
      <c r="K48" s="808"/>
      <c r="L48" s="808"/>
      <c r="M48" s="808"/>
      <c r="N48" s="808"/>
      <c r="O48" s="808"/>
      <c r="P48" s="808"/>
      <c r="Q48" s="808"/>
      <c r="R48" s="808"/>
      <c r="S48" s="808"/>
      <c r="T48" s="808"/>
      <c r="U48" s="808"/>
      <c r="V48" s="808"/>
      <c r="W48" s="808"/>
      <c r="X48" s="808"/>
      <c r="Y48" s="808"/>
      <c r="Z48" s="808"/>
      <c r="AA48" s="808"/>
      <c r="AB48" s="808"/>
      <c r="AC48" s="808"/>
      <c r="AD48" s="808"/>
      <c r="AE48" s="808"/>
      <c r="AF48" s="808"/>
      <c r="AG48" s="808"/>
      <c r="AH48" s="808"/>
      <c r="AI48" s="808"/>
      <c r="AJ48" s="808"/>
      <c r="AK48" s="313" t="s">
        <v>97</v>
      </c>
      <c r="AL48" s="248"/>
      <c r="AM48" s="809" t="s">
        <v>98</v>
      </c>
      <c r="AN48" s="809"/>
      <c r="AO48" s="809"/>
      <c r="AP48" s="809"/>
      <c r="AQ48" s="809"/>
      <c r="AR48" s="809"/>
      <c r="AS48" s="809"/>
      <c r="AT48" s="809"/>
      <c r="AU48" s="809"/>
      <c r="AV48" s="809"/>
      <c r="AW48" s="809"/>
      <c r="AX48" s="809"/>
      <c r="AY48" s="80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5" customHeight="1" thickBot="1">
      <c r="A50" s="15"/>
      <c r="B50" s="810" t="s">
        <v>99</v>
      </c>
      <c r="C50" s="811"/>
      <c r="D50" s="811"/>
      <c r="E50" s="811"/>
      <c r="F50" s="811"/>
      <c r="G50" s="811"/>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15"/>
      <c r="AM50" s="15"/>
      <c r="AN50" s="15"/>
      <c r="AO50" s="15"/>
      <c r="AP50" s="15"/>
      <c r="AQ50" s="15"/>
      <c r="AR50" s="15"/>
      <c r="AS50" s="15"/>
      <c r="AT50" s="15"/>
      <c r="AU50" s="15"/>
      <c r="AV50" s="15"/>
      <c r="AW50" s="15"/>
      <c r="AX50" s="15"/>
      <c r="AY50" s="15"/>
      <c r="AZ50" s="12"/>
      <c r="BA50" s="804" t="s">
        <v>100</v>
      </c>
      <c r="BB50" s="804"/>
      <c r="BC50" s="804"/>
      <c r="BD50" s="804"/>
      <c r="BE50" s="804" t="s">
        <v>100</v>
      </c>
      <c r="BF50" s="804"/>
      <c r="BG50" s="804"/>
      <c r="BH50" s="804"/>
    </row>
    <row r="51" spans="1:60" ht="18" customHeight="1" thickBot="1">
      <c r="A51" s="15"/>
      <c r="B51" s="812" t="s">
        <v>101</v>
      </c>
      <c r="C51" s="812"/>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J51" s="81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05">
        <f>COUNTIF('別紙様式2-2（個票（４、５月））'!N:N,"処遇改善加算Ⅰ")</f>
        <v>27</v>
      </c>
      <c r="BB51" s="805"/>
      <c r="BC51" s="805"/>
      <c r="BD51" s="805"/>
      <c r="BE51" s="805">
        <f>COUNTIF('別紙様式2-3（個票（６月以降））'!N:N,"*処遇改善加算Ⅰ*")</f>
        <v>27</v>
      </c>
      <c r="BF51" s="805"/>
      <c r="BG51" s="805"/>
      <c r="BH51" s="80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5" customHeight="1" thickBot="1">
      <c r="A53" s="284"/>
      <c r="B53" s="874" t="s">
        <v>102</v>
      </c>
      <c r="C53" s="874"/>
      <c r="D53" s="874"/>
      <c r="E53" s="874"/>
      <c r="F53" s="874"/>
      <c r="G53" s="874"/>
      <c r="H53" s="874"/>
      <c r="I53" s="874"/>
      <c r="J53" s="874"/>
      <c r="K53" s="874"/>
      <c r="L53" s="874"/>
      <c r="M53" s="874"/>
      <c r="N53" s="874"/>
      <c r="O53" s="874"/>
      <c r="P53" s="874"/>
      <c r="Q53" s="875"/>
      <c r="R53" s="875"/>
      <c r="S53" s="875"/>
      <c r="T53" s="875"/>
      <c r="U53" s="875"/>
      <c r="V53" s="875"/>
      <c r="W53" s="875"/>
      <c r="X53" s="875"/>
      <c r="Y53" s="875"/>
      <c r="Z53" s="875"/>
      <c r="AA53" s="875"/>
      <c r="AB53" s="875"/>
      <c r="AC53" s="875"/>
      <c r="AD53" s="875"/>
      <c r="AE53" s="875"/>
      <c r="AF53" s="875"/>
      <c r="AG53" s="875"/>
      <c r="AH53" s="875"/>
      <c r="AI53" s="875"/>
      <c r="AJ53" s="875"/>
      <c r="AK53" s="875"/>
      <c r="AL53" s="243"/>
      <c r="AM53" s="248"/>
      <c r="AN53" s="320"/>
      <c r="AO53" s="248"/>
      <c r="AP53" s="248"/>
      <c r="AQ53" s="248"/>
      <c r="AR53" s="248"/>
      <c r="AS53" s="248"/>
      <c r="AT53" s="248"/>
      <c r="AU53" s="248"/>
      <c r="AV53" s="248"/>
      <c r="AW53" s="248"/>
      <c r="AX53" s="248"/>
      <c r="AY53" s="248"/>
    </row>
    <row r="54" spans="1:60" s="16" customFormat="1" ht="19.5" customHeight="1" thickBot="1">
      <c r="A54" s="284"/>
      <c r="B54" s="895" t="s">
        <v>103</v>
      </c>
      <c r="C54" s="896"/>
      <c r="D54" s="896"/>
      <c r="E54" s="896"/>
      <c r="F54" s="896"/>
      <c r="G54" s="896"/>
      <c r="H54" s="896"/>
      <c r="I54" s="896"/>
      <c r="J54" s="896"/>
      <c r="K54" s="896"/>
      <c r="L54" s="896"/>
      <c r="M54" s="896"/>
      <c r="N54" s="896"/>
      <c r="O54" s="896"/>
      <c r="P54" s="896"/>
      <c r="Q54" s="896"/>
      <c r="R54" s="896"/>
      <c r="S54" s="896"/>
      <c r="T54" s="896"/>
      <c r="U54" s="896"/>
      <c r="V54" s="896"/>
      <c r="W54" s="896"/>
      <c r="X54" s="896"/>
      <c r="Y54" s="896"/>
      <c r="Z54" s="896"/>
      <c r="AA54" s="896"/>
      <c r="AB54" s="896"/>
      <c r="AC54" s="896"/>
      <c r="AD54" s="896"/>
      <c r="AE54" s="896"/>
      <c r="AF54" s="896"/>
      <c r="AG54" s="896"/>
      <c r="AH54" s="896"/>
      <c r="AI54" s="896"/>
      <c r="AJ54" s="896"/>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06" t="s">
        <v>104</v>
      </c>
      <c r="C55" s="807"/>
      <c r="D55" s="807"/>
      <c r="E55" s="807"/>
      <c r="F55" s="807"/>
      <c r="G55" s="807"/>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399" t="s">
        <v>2602</v>
      </c>
      <c r="AL55" s="243"/>
      <c r="AM55" s="321"/>
      <c r="AN55" s="285"/>
      <c r="AO55" s="285"/>
      <c r="AP55" s="285"/>
      <c r="AQ55" s="285"/>
      <c r="AR55" s="285"/>
      <c r="AS55" s="285"/>
      <c r="AT55" s="285"/>
      <c r="AU55" s="285"/>
      <c r="AV55" s="285"/>
      <c r="AW55" s="285"/>
      <c r="AX55" s="285"/>
      <c r="AY55" s="285"/>
    </row>
    <row r="56" spans="1:60" s="16" customFormat="1" ht="19.5" customHeight="1" thickBot="1">
      <c r="A56" s="284"/>
      <c r="B56" s="863" t="s">
        <v>105</v>
      </c>
      <c r="C56" s="863"/>
      <c r="D56" s="863"/>
      <c r="E56" s="863"/>
      <c r="F56" s="863"/>
      <c r="G56" s="863"/>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4.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65" t="str">
        <f>IF(OR(BA40&gt;0,BE40&gt;0),"該当","")</f>
        <v>該当</v>
      </c>
      <c r="AJ58" s="866"/>
      <c r="AK58" s="867"/>
      <c r="AL58" s="248"/>
      <c r="AM58" s="284"/>
      <c r="AN58" s="284"/>
      <c r="AO58" s="284"/>
      <c r="AP58" s="284"/>
      <c r="AQ58" s="284"/>
      <c r="AR58" s="284"/>
      <c r="AS58" s="284"/>
      <c r="AT58" s="284"/>
      <c r="AU58" s="284"/>
      <c r="AV58" s="284"/>
      <c r="AW58" s="284"/>
      <c r="AX58" s="284"/>
      <c r="AY58" s="284"/>
    </row>
    <row r="59" spans="1:60" ht="51" customHeight="1">
      <c r="A59" s="15"/>
      <c r="B59" s="325" t="s">
        <v>107</v>
      </c>
      <c r="C59" s="868" t="s">
        <v>108</v>
      </c>
      <c r="D59" s="868"/>
      <c r="E59" s="868"/>
      <c r="F59" s="868"/>
      <c r="G59" s="868"/>
      <c r="H59" s="868"/>
      <c r="I59" s="868"/>
      <c r="J59" s="868"/>
      <c r="K59" s="868"/>
      <c r="L59" s="868"/>
      <c r="M59" s="868"/>
      <c r="N59" s="868"/>
      <c r="O59" s="868"/>
      <c r="P59" s="868"/>
      <c r="Q59" s="868"/>
      <c r="R59" s="868"/>
      <c r="S59" s="868"/>
      <c r="T59" s="868"/>
      <c r="U59" s="868"/>
      <c r="V59" s="868"/>
      <c r="W59" s="868"/>
      <c r="X59" s="868"/>
      <c r="Y59" s="868"/>
      <c r="Z59" s="868"/>
      <c r="AA59" s="868"/>
      <c r="AB59" s="868"/>
      <c r="AC59" s="868"/>
      <c r="AD59" s="868"/>
      <c r="AE59" s="868"/>
      <c r="AF59" s="868"/>
      <c r="AG59" s="868"/>
      <c r="AH59" s="868"/>
      <c r="AI59" s="868"/>
      <c r="AJ59" s="868"/>
      <c r="AK59" s="868"/>
      <c r="AL59" s="248"/>
      <c r="AM59" s="248"/>
      <c r="AN59" s="248"/>
      <c r="AO59" s="248"/>
      <c r="AP59" s="248"/>
      <c r="AQ59" s="326"/>
      <c r="AR59" s="248"/>
      <c r="AS59" s="248"/>
      <c r="AT59" s="248"/>
      <c r="AU59" s="327"/>
      <c r="AV59" s="248"/>
      <c r="AW59" s="248"/>
      <c r="AX59" s="248"/>
      <c r="AY59" s="248"/>
    </row>
    <row r="60" spans="1:60" ht="4.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69" t="str">
        <f>IF(OR(BA32-BA40&gt;0,BE32-BE40&gt;0),"該当","")</f>
        <v>該当</v>
      </c>
      <c r="AJ61" s="870"/>
      <c r="AK61" s="871"/>
      <c r="AL61" s="248"/>
      <c r="AM61" s="248"/>
      <c r="AN61" s="248"/>
      <c r="AO61" s="15"/>
      <c r="AP61" s="248"/>
      <c r="AQ61" s="248"/>
      <c r="AR61" s="248"/>
      <c r="AS61" s="248"/>
      <c r="AT61" s="248"/>
      <c r="AU61" s="248"/>
      <c r="AV61" s="248"/>
      <c r="AW61" s="248"/>
      <c r="AX61" s="248"/>
      <c r="AY61" s="248"/>
    </row>
    <row r="62" spans="1:60" ht="59.55" customHeight="1">
      <c r="A62" s="15"/>
      <c r="B62" s="325" t="s">
        <v>107</v>
      </c>
      <c r="C62" s="868" t="s">
        <v>110</v>
      </c>
      <c r="D62" s="868"/>
      <c r="E62" s="868"/>
      <c r="F62" s="868"/>
      <c r="G62" s="868"/>
      <c r="H62" s="868"/>
      <c r="I62" s="868"/>
      <c r="J62" s="868"/>
      <c r="K62" s="868"/>
      <c r="L62" s="868"/>
      <c r="M62" s="868"/>
      <c r="N62" s="868"/>
      <c r="O62" s="868"/>
      <c r="P62" s="868"/>
      <c r="Q62" s="868"/>
      <c r="R62" s="868"/>
      <c r="S62" s="868"/>
      <c r="T62" s="868"/>
      <c r="U62" s="868"/>
      <c r="V62" s="868"/>
      <c r="W62" s="868"/>
      <c r="X62" s="868"/>
      <c r="Y62" s="868"/>
      <c r="Z62" s="868"/>
      <c r="AA62" s="868"/>
      <c r="AB62" s="868"/>
      <c r="AC62" s="868"/>
      <c r="AD62" s="868"/>
      <c r="AE62" s="868"/>
      <c r="AF62" s="868"/>
      <c r="AG62" s="868"/>
      <c r="AH62" s="868"/>
      <c r="AI62" s="868"/>
      <c r="AJ62" s="868"/>
      <c r="AK62" s="868"/>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889" t="s">
        <v>111</v>
      </c>
      <c r="C64" s="890"/>
      <c r="D64" s="891"/>
      <c r="E64" s="892" t="s">
        <v>112</v>
      </c>
      <c r="F64" s="893"/>
      <c r="G64" s="893"/>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4"/>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4" t="s">
        <v>115</v>
      </c>
      <c r="C65" s="705"/>
      <c r="D65" s="705"/>
      <c r="E65" s="878" t="s">
        <v>2602</v>
      </c>
      <c r="F65" s="879"/>
      <c r="G65" s="872" t="s">
        <v>116</v>
      </c>
      <c r="H65" s="873"/>
      <c r="I65" s="873"/>
      <c r="J65" s="873"/>
      <c r="K65" s="873"/>
      <c r="L65" s="873"/>
      <c r="M65" s="873"/>
      <c r="N65" s="873"/>
      <c r="O65" s="873"/>
      <c r="P65" s="873"/>
      <c r="Q65" s="873"/>
      <c r="R65" s="873"/>
      <c r="S65" s="873"/>
      <c r="T65" s="873"/>
      <c r="U65" s="873"/>
      <c r="V65" s="873"/>
      <c r="W65" s="873"/>
      <c r="X65" s="873"/>
      <c r="Y65" s="873"/>
      <c r="Z65" s="873"/>
      <c r="AA65" s="873"/>
      <c r="AB65" s="873"/>
      <c r="AC65" s="873"/>
      <c r="AD65" s="873"/>
      <c r="AE65" s="873"/>
      <c r="AF65" s="873"/>
      <c r="AG65" s="873"/>
      <c r="AH65" s="873"/>
      <c r="AI65" s="873"/>
      <c r="AJ65" s="873"/>
      <c r="AK65" s="873"/>
      <c r="AL65" s="248"/>
      <c r="AM65" s="847" t="str">
        <f>IF(AI58="該当", "！この区分（４項目）から２つ以上の取組が選択されていません。",  "！この区分（４項目）から１つ以上の取組が選択されていません。")</f>
        <v>！この区分（４項目）から２つ以上の取組が選択されていません。</v>
      </c>
      <c r="AN65" s="848"/>
      <c r="AO65" s="848"/>
      <c r="AP65" s="848"/>
      <c r="AQ65" s="848"/>
      <c r="AR65" s="848"/>
      <c r="AS65" s="848"/>
      <c r="AT65" s="848"/>
      <c r="AU65" s="848"/>
      <c r="AV65" s="848"/>
      <c r="AW65" s="848"/>
      <c r="AX65" s="849"/>
      <c r="AY65" s="248"/>
      <c r="AZ65" s="12"/>
      <c r="BA65" s="880">
        <f>COUNTIF(E65:F68, "✓")+COUNTIF(E65:F68, "誓約")</f>
        <v>1</v>
      </c>
      <c r="BB65" s="426">
        <f>IF(AI58="該当",2,IF(AI61="該当",1,""))</f>
        <v>2</v>
      </c>
    </row>
    <row r="66" spans="1:54" ht="15" customHeight="1" thickBot="1">
      <c r="A66" s="15"/>
      <c r="B66" s="707"/>
      <c r="C66" s="708"/>
      <c r="D66" s="708"/>
      <c r="E66" s="881"/>
      <c r="F66" s="882"/>
      <c r="G66" s="872" t="s">
        <v>117</v>
      </c>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248"/>
      <c r="AM66" s="850"/>
      <c r="AN66" s="851"/>
      <c r="AO66" s="851"/>
      <c r="AP66" s="851"/>
      <c r="AQ66" s="851"/>
      <c r="AR66" s="851"/>
      <c r="AS66" s="851"/>
      <c r="AT66" s="851"/>
      <c r="AU66" s="851"/>
      <c r="AV66" s="851"/>
      <c r="AW66" s="851"/>
      <c r="AX66" s="852"/>
      <c r="AY66" s="321"/>
      <c r="AZ66" s="332"/>
      <c r="BA66" s="880"/>
    </row>
    <row r="67" spans="1:54" ht="24.6" customHeight="1">
      <c r="A67" s="15"/>
      <c r="B67" s="707"/>
      <c r="C67" s="708"/>
      <c r="D67" s="708"/>
      <c r="E67" s="881"/>
      <c r="F67" s="882"/>
      <c r="G67" s="872" t="s">
        <v>118</v>
      </c>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248"/>
      <c r="AM67" s="321"/>
      <c r="AN67" s="321"/>
      <c r="AO67" s="321"/>
      <c r="AP67" s="321"/>
      <c r="AQ67" s="321"/>
      <c r="AR67" s="321"/>
      <c r="AS67" s="321"/>
      <c r="AT67" s="321"/>
      <c r="AU67" s="321"/>
      <c r="AV67" s="321"/>
      <c r="AW67" s="321"/>
      <c r="AX67" s="321"/>
      <c r="AY67" s="321"/>
      <c r="AZ67" s="332"/>
      <c r="BA67" s="880"/>
    </row>
    <row r="68" spans="1:54" ht="15" customHeight="1" thickBot="1">
      <c r="A68" s="15"/>
      <c r="B68" s="876"/>
      <c r="C68" s="877"/>
      <c r="D68" s="877"/>
      <c r="E68" s="887"/>
      <c r="F68" s="888"/>
      <c r="G68" s="872" t="s">
        <v>119</v>
      </c>
      <c r="H68" s="873"/>
      <c r="I68" s="873"/>
      <c r="J68" s="873"/>
      <c r="K68" s="873"/>
      <c r="L68" s="873"/>
      <c r="M68" s="873"/>
      <c r="N68" s="873"/>
      <c r="O68" s="873"/>
      <c r="P68" s="873"/>
      <c r="Q68" s="873"/>
      <c r="R68" s="873"/>
      <c r="S68" s="873"/>
      <c r="T68" s="873"/>
      <c r="U68" s="873"/>
      <c r="V68" s="873"/>
      <c r="W68" s="873"/>
      <c r="X68" s="873"/>
      <c r="Y68" s="873"/>
      <c r="Z68" s="873"/>
      <c r="AA68" s="873"/>
      <c r="AB68" s="873"/>
      <c r="AC68" s="873"/>
      <c r="AD68" s="873"/>
      <c r="AE68" s="873"/>
      <c r="AF68" s="873"/>
      <c r="AG68" s="873"/>
      <c r="AH68" s="873"/>
      <c r="AI68" s="873"/>
      <c r="AJ68" s="873"/>
      <c r="AK68" s="873"/>
      <c r="AL68" s="248"/>
      <c r="AM68" s="333"/>
      <c r="AN68" s="333"/>
      <c r="AO68" s="333"/>
      <c r="AP68" s="333"/>
      <c r="AQ68" s="333"/>
      <c r="AR68" s="333"/>
      <c r="AS68" s="333"/>
      <c r="AT68" s="333"/>
      <c r="AU68" s="333"/>
      <c r="AV68" s="333"/>
      <c r="AW68" s="333"/>
      <c r="AX68" s="333"/>
      <c r="AY68" s="248"/>
      <c r="AZ68" s="12"/>
      <c r="BA68" s="880"/>
    </row>
    <row r="69" spans="1:54" ht="39.6" customHeight="1">
      <c r="A69" s="15"/>
      <c r="B69" s="704" t="s">
        <v>120</v>
      </c>
      <c r="C69" s="705"/>
      <c r="D69" s="705"/>
      <c r="E69" s="878" t="s">
        <v>2602</v>
      </c>
      <c r="F69" s="879"/>
      <c r="G69" s="872" t="s">
        <v>121</v>
      </c>
      <c r="H69" s="873"/>
      <c r="I69" s="873"/>
      <c r="J69" s="873"/>
      <c r="K69" s="873"/>
      <c r="L69" s="873"/>
      <c r="M69" s="873"/>
      <c r="N69" s="873"/>
      <c r="O69" s="873"/>
      <c r="P69" s="873"/>
      <c r="Q69" s="873"/>
      <c r="R69" s="873"/>
      <c r="S69" s="873"/>
      <c r="T69" s="873"/>
      <c r="U69" s="873"/>
      <c r="V69" s="873"/>
      <c r="W69" s="873"/>
      <c r="X69" s="873"/>
      <c r="Y69" s="873"/>
      <c r="Z69" s="873"/>
      <c r="AA69" s="873"/>
      <c r="AB69" s="873"/>
      <c r="AC69" s="873"/>
      <c r="AD69" s="873"/>
      <c r="AE69" s="873"/>
      <c r="AF69" s="873"/>
      <c r="AG69" s="873"/>
      <c r="AH69" s="873"/>
      <c r="AI69" s="873"/>
      <c r="AJ69" s="873"/>
      <c r="AK69" s="873"/>
      <c r="AL69" s="248"/>
      <c r="AM69" s="847" t="str">
        <f>IF(AI58="該当", "！この区分（４項目）から２つ以上の取組が選択されていません。",  "！この区分（４項目）から１つ以上の取組が選択されていません。")</f>
        <v>！この区分（４項目）から２つ以上の取組が選択されていません。</v>
      </c>
      <c r="AN69" s="848"/>
      <c r="AO69" s="848"/>
      <c r="AP69" s="848"/>
      <c r="AQ69" s="848"/>
      <c r="AR69" s="848"/>
      <c r="AS69" s="848"/>
      <c r="AT69" s="848"/>
      <c r="AU69" s="848"/>
      <c r="AV69" s="848"/>
      <c r="AW69" s="848"/>
      <c r="AX69" s="849"/>
      <c r="AY69" s="248"/>
      <c r="AZ69" s="12"/>
      <c r="BA69" s="880">
        <f>COUNTIF(E69:F72, "✓")+COUNTIF(E69:F72, "誓約")</f>
        <v>1</v>
      </c>
    </row>
    <row r="70" spans="1:54" ht="15" customHeight="1" thickBot="1">
      <c r="A70" s="15"/>
      <c r="B70" s="707"/>
      <c r="C70" s="708"/>
      <c r="D70" s="708"/>
      <c r="E70" s="881"/>
      <c r="F70" s="882"/>
      <c r="G70" s="872" t="s">
        <v>122</v>
      </c>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248"/>
      <c r="AM70" s="850"/>
      <c r="AN70" s="851"/>
      <c r="AO70" s="851"/>
      <c r="AP70" s="851"/>
      <c r="AQ70" s="851"/>
      <c r="AR70" s="851"/>
      <c r="AS70" s="851"/>
      <c r="AT70" s="851"/>
      <c r="AU70" s="851"/>
      <c r="AV70" s="851"/>
      <c r="AW70" s="851"/>
      <c r="AX70" s="852"/>
      <c r="AY70" s="321"/>
      <c r="AZ70" s="332"/>
      <c r="BA70" s="880"/>
    </row>
    <row r="71" spans="1:54" ht="15" customHeight="1">
      <c r="A71" s="15"/>
      <c r="B71" s="707"/>
      <c r="C71" s="708"/>
      <c r="D71" s="708"/>
      <c r="E71" s="883"/>
      <c r="F71" s="884"/>
      <c r="G71" s="872" t="s">
        <v>123</v>
      </c>
      <c r="H71" s="873"/>
      <c r="I71" s="873"/>
      <c r="J71" s="873"/>
      <c r="K71" s="873"/>
      <c r="L71" s="873"/>
      <c r="M71" s="873"/>
      <c r="N71" s="873"/>
      <c r="O71" s="873"/>
      <c r="P71" s="873"/>
      <c r="Q71" s="873"/>
      <c r="R71" s="873"/>
      <c r="S71" s="873"/>
      <c r="T71" s="873"/>
      <c r="U71" s="873"/>
      <c r="V71" s="873"/>
      <c r="W71" s="873"/>
      <c r="X71" s="873"/>
      <c r="Y71" s="873"/>
      <c r="Z71" s="873"/>
      <c r="AA71" s="873"/>
      <c r="AB71" s="873"/>
      <c r="AC71" s="873"/>
      <c r="AD71" s="873"/>
      <c r="AE71" s="873"/>
      <c r="AF71" s="873"/>
      <c r="AG71" s="873"/>
      <c r="AH71" s="873"/>
      <c r="AI71" s="873"/>
      <c r="AJ71" s="873"/>
      <c r="AK71" s="873"/>
      <c r="AL71" s="248"/>
      <c r="AM71" s="334"/>
      <c r="AN71" s="321"/>
      <c r="AO71" s="321"/>
      <c r="AP71" s="321"/>
      <c r="AQ71" s="321"/>
      <c r="AR71" s="321"/>
      <c r="AS71" s="321"/>
      <c r="AT71" s="321"/>
      <c r="AU71" s="321"/>
      <c r="AV71" s="321"/>
      <c r="AW71" s="321"/>
      <c r="AX71" s="321"/>
      <c r="AY71" s="321"/>
      <c r="AZ71" s="332"/>
      <c r="BA71" s="880"/>
    </row>
    <row r="72" spans="1:54" ht="15" customHeight="1" thickBot="1">
      <c r="A72" s="15"/>
      <c r="B72" s="876"/>
      <c r="C72" s="877"/>
      <c r="D72" s="877"/>
      <c r="E72" s="885"/>
      <c r="F72" s="886"/>
      <c r="G72" s="872" t="s">
        <v>124</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3"/>
      <c r="AL72" s="248"/>
      <c r="AM72" s="333"/>
      <c r="AN72" s="333"/>
      <c r="AO72" s="333"/>
      <c r="AP72" s="333"/>
      <c r="AQ72" s="333"/>
      <c r="AR72" s="333"/>
      <c r="AS72" s="333"/>
      <c r="AT72" s="333"/>
      <c r="AU72" s="333"/>
      <c r="AV72" s="333"/>
      <c r="AW72" s="333"/>
      <c r="AX72" s="333"/>
      <c r="AY72" s="248"/>
      <c r="AZ72" s="12"/>
      <c r="BA72" s="880"/>
    </row>
    <row r="73" spans="1:54" ht="15" customHeight="1">
      <c r="A73" s="15"/>
      <c r="B73" s="704" t="s">
        <v>125</v>
      </c>
      <c r="C73" s="705"/>
      <c r="D73" s="705"/>
      <c r="E73" s="878"/>
      <c r="F73" s="879"/>
      <c r="G73" s="872" t="s">
        <v>126</v>
      </c>
      <c r="H73" s="873"/>
      <c r="I73" s="873"/>
      <c r="J73" s="873"/>
      <c r="K73" s="873"/>
      <c r="L73" s="873"/>
      <c r="M73" s="873"/>
      <c r="N73" s="873"/>
      <c r="O73" s="873"/>
      <c r="P73" s="873"/>
      <c r="Q73" s="873"/>
      <c r="R73" s="873"/>
      <c r="S73" s="873"/>
      <c r="T73" s="873"/>
      <c r="U73" s="873"/>
      <c r="V73" s="873"/>
      <c r="W73" s="873"/>
      <c r="X73" s="873"/>
      <c r="Y73" s="873"/>
      <c r="Z73" s="873"/>
      <c r="AA73" s="873"/>
      <c r="AB73" s="873"/>
      <c r="AC73" s="873"/>
      <c r="AD73" s="873"/>
      <c r="AE73" s="873"/>
      <c r="AF73" s="873"/>
      <c r="AG73" s="873"/>
      <c r="AH73" s="873"/>
      <c r="AI73" s="873"/>
      <c r="AJ73" s="873"/>
      <c r="AK73" s="873"/>
      <c r="AL73" s="248"/>
      <c r="AM73" s="847" t="str">
        <f>IF(AI58="該当", "！この区分（４項目）から２つ以上の取組が選択されていません。",  "！この区分（４項目）から１つ以上の取組が選択されていません。")</f>
        <v>！この区分（４項目）から２つ以上の取組が選択されていません。</v>
      </c>
      <c r="AN73" s="848"/>
      <c r="AO73" s="848"/>
      <c r="AP73" s="848"/>
      <c r="AQ73" s="848"/>
      <c r="AR73" s="848"/>
      <c r="AS73" s="848"/>
      <c r="AT73" s="848"/>
      <c r="AU73" s="848"/>
      <c r="AV73" s="848"/>
      <c r="AW73" s="848"/>
      <c r="AX73" s="849"/>
      <c r="AY73" s="248"/>
      <c r="AZ73" s="12"/>
      <c r="BA73" s="880">
        <f>COUNTIF(E73:F76, "✓")+COUNTIF(E73:F76, "誓約")</f>
        <v>1</v>
      </c>
    </row>
    <row r="74" spans="1:54" ht="28.2" customHeight="1" thickBot="1">
      <c r="A74" s="15"/>
      <c r="B74" s="707"/>
      <c r="C74" s="708"/>
      <c r="D74" s="708"/>
      <c r="E74" s="881"/>
      <c r="F74" s="882"/>
      <c r="G74" s="872" t="s">
        <v>127</v>
      </c>
      <c r="H74" s="873"/>
      <c r="I74" s="873"/>
      <c r="J74" s="873"/>
      <c r="K74" s="873"/>
      <c r="L74" s="873"/>
      <c r="M74" s="873"/>
      <c r="N74" s="873"/>
      <c r="O74" s="873"/>
      <c r="P74" s="873"/>
      <c r="Q74" s="873"/>
      <c r="R74" s="873"/>
      <c r="S74" s="873"/>
      <c r="T74" s="873"/>
      <c r="U74" s="873"/>
      <c r="V74" s="873"/>
      <c r="W74" s="873"/>
      <c r="X74" s="873"/>
      <c r="Y74" s="873"/>
      <c r="Z74" s="873"/>
      <c r="AA74" s="873"/>
      <c r="AB74" s="873"/>
      <c r="AC74" s="873"/>
      <c r="AD74" s="873"/>
      <c r="AE74" s="873"/>
      <c r="AF74" s="873"/>
      <c r="AG74" s="873"/>
      <c r="AH74" s="873"/>
      <c r="AI74" s="873"/>
      <c r="AJ74" s="873"/>
      <c r="AK74" s="873"/>
      <c r="AL74" s="248"/>
      <c r="AM74" s="850"/>
      <c r="AN74" s="851"/>
      <c r="AO74" s="851"/>
      <c r="AP74" s="851"/>
      <c r="AQ74" s="851"/>
      <c r="AR74" s="851"/>
      <c r="AS74" s="851"/>
      <c r="AT74" s="851"/>
      <c r="AU74" s="851"/>
      <c r="AV74" s="851"/>
      <c r="AW74" s="851"/>
      <c r="AX74" s="852"/>
      <c r="AY74" s="321"/>
      <c r="AZ74" s="332"/>
      <c r="BA74" s="880"/>
    </row>
    <row r="75" spans="1:54" ht="45.6" customHeight="1">
      <c r="A75" s="15"/>
      <c r="B75" s="707"/>
      <c r="C75" s="708"/>
      <c r="D75" s="708"/>
      <c r="E75" s="881" t="s">
        <v>2602</v>
      </c>
      <c r="F75" s="882"/>
      <c r="G75" s="872" t="s">
        <v>128</v>
      </c>
      <c r="H75" s="873"/>
      <c r="I75" s="873"/>
      <c r="J75" s="873"/>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3"/>
      <c r="AL75" s="248"/>
      <c r="AM75" s="321"/>
      <c r="AN75" s="321"/>
      <c r="AO75" s="321"/>
      <c r="AP75" s="321"/>
      <c r="AQ75" s="321"/>
      <c r="AR75" s="321"/>
      <c r="AS75" s="321"/>
      <c r="AT75" s="321"/>
      <c r="AU75" s="321"/>
      <c r="AV75" s="321"/>
      <c r="AW75" s="321"/>
      <c r="AX75" s="321"/>
      <c r="AZ75" s="332"/>
      <c r="BA75" s="880"/>
    </row>
    <row r="76" spans="1:54" ht="27" customHeight="1" thickBot="1">
      <c r="A76" s="15"/>
      <c r="B76" s="876"/>
      <c r="C76" s="877"/>
      <c r="D76" s="877"/>
      <c r="E76" s="881"/>
      <c r="F76" s="882"/>
      <c r="G76" s="872" t="s">
        <v>129</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3"/>
      <c r="AL76" s="248"/>
      <c r="AM76" s="333"/>
      <c r="AN76" s="333"/>
      <c r="AO76" s="333"/>
      <c r="AP76" s="333"/>
      <c r="AQ76" s="333"/>
      <c r="AR76" s="333"/>
      <c r="AS76" s="333"/>
      <c r="AT76" s="333"/>
      <c r="AU76" s="333"/>
      <c r="AV76" s="333"/>
      <c r="AW76" s="333"/>
      <c r="AX76" s="333"/>
      <c r="AY76" s="248"/>
      <c r="AZ76" s="12"/>
      <c r="BA76" s="880"/>
    </row>
    <row r="77" spans="1:54" ht="15" customHeight="1">
      <c r="A77" s="15"/>
      <c r="B77" s="704" t="s">
        <v>130</v>
      </c>
      <c r="C77" s="705"/>
      <c r="D77" s="705"/>
      <c r="E77" s="878"/>
      <c r="F77" s="879"/>
      <c r="G77" s="872" t="s">
        <v>131</v>
      </c>
      <c r="H77" s="873"/>
      <c r="I77" s="873"/>
      <c r="J77" s="873"/>
      <c r="K77" s="873"/>
      <c r="L77" s="873"/>
      <c r="M77" s="873"/>
      <c r="N77" s="873"/>
      <c r="O77" s="873"/>
      <c r="P77" s="873"/>
      <c r="Q77" s="873"/>
      <c r="R77" s="873"/>
      <c r="S77" s="873"/>
      <c r="T77" s="873"/>
      <c r="U77" s="873"/>
      <c r="V77" s="873"/>
      <c r="W77" s="873"/>
      <c r="X77" s="873"/>
      <c r="Y77" s="873"/>
      <c r="Z77" s="873"/>
      <c r="AA77" s="873"/>
      <c r="AB77" s="873"/>
      <c r="AC77" s="873"/>
      <c r="AD77" s="873"/>
      <c r="AE77" s="873"/>
      <c r="AF77" s="873"/>
      <c r="AG77" s="873"/>
      <c r="AH77" s="873"/>
      <c r="AI77" s="873"/>
      <c r="AJ77" s="873"/>
      <c r="AK77" s="873"/>
      <c r="AL77" s="248"/>
      <c r="AM77" s="897" t="str">
        <f>IF(AI58="該当", "！この区分（４項目）から２つ以上の取組が選択されていません。",  "！この区分（４項目）から１つ以上の取組が選択されていません。")</f>
        <v>！この区分（４項目）から２つ以上の取組が選択されていません。</v>
      </c>
      <c r="AN77" s="848"/>
      <c r="AO77" s="848"/>
      <c r="AP77" s="848"/>
      <c r="AQ77" s="848"/>
      <c r="AR77" s="848"/>
      <c r="AS77" s="848"/>
      <c r="AT77" s="848"/>
      <c r="AU77" s="848"/>
      <c r="AV77" s="848"/>
      <c r="AW77" s="848"/>
      <c r="AX77" s="849"/>
      <c r="AY77" s="248"/>
      <c r="AZ77" s="12"/>
      <c r="BA77" s="880">
        <f>COUNTIF(E77:F80, "✓")+COUNTIF(E77:F80, "誓約")</f>
        <v>1</v>
      </c>
    </row>
    <row r="78" spans="1:54" ht="32.549999999999997" customHeight="1" thickBot="1">
      <c r="A78" s="15"/>
      <c r="B78" s="707"/>
      <c r="C78" s="708"/>
      <c r="D78" s="708"/>
      <c r="E78" s="881"/>
      <c r="F78" s="882"/>
      <c r="G78" s="872" t="s">
        <v>132</v>
      </c>
      <c r="H78" s="873"/>
      <c r="I78" s="873"/>
      <c r="J78" s="873"/>
      <c r="K78" s="873"/>
      <c r="L78" s="873"/>
      <c r="M78" s="873"/>
      <c r="N78" s="873"/>
      <c r="O78" s="873"/>
      <c r="P78" s="873"/>
      <c r="Q78" s="873"/>
      <c r="R78" s="873"/>
      <c r="S78" s="873"/>
      <c r="T78" s="873"/>
      <c r="U78" s="873"/>
      <c r="V78" s="873"/>
      <c r="W78" s="873"/>
      <c r="X78" s="873"/>
      <c r="Y78" s="873"/>
      <c r="Z78" s="873"/>
      <c r="AA78" s="873"/>
      <c r="AB78" s="873"/>
      <c r="AC78" s="873"/>
      <c r="AD78" s="873"/>
      <c r="AE78" s="873"/>
      <c r="AF78" s="873"/>
      <c r="AG78" s="873"/>
      <c r="AH78" s="873"/>
      <c r="AI78" s="873"/>
      <c r="AJ78" s="873"/>
      <c r="AK78" s="873"/>
      <c r="AL78" s="15"/>
      <c r="AM78" s="850"/>
      <c r="AN78" s="851"/>
      <c r="AO78" s="851"/>
      <c r="AP78" s="851"/>
      <c r="AQ78" s="851"/>
      <c r="AR78" s="851"/>
      <c r="AS78" s="851"/>
      <c r="AT78" s="851"/>
      <c r="AU78" s="851"/>
      <c r="AV78" s="851"/>
      <c r="AW78" s="851"/>
      <c r="AX78" s="852"/>
      <c r="AY78" s="321"/>
      <c r="AZ78" s="332"/>
      <c r="BA78" s="880"/>
    </row>
    <row r="79" spans="1:54" ht="28.2" customHeight="1">
      <c r="A79" s="15"/>
      <c r="B79" s="707"/>
      <c r="C79" s="708"/>
      <c r="D79" s="708"/>
      <c r="E79" s="881"/>
      <c r="F79" s="882"/>
      <c r="G79" s="872" t="s">
        <v>133</v>
      </c>
      <c r="H79" s="873"/>
      <c r="I79" s="873"/>
      <c r="J79" s="873"/>
      <c r="K79" s="873"/>
      <c r="L79" s="873"/>
      <c r="M79" s="873"/>
      <c r="N79" s="873"/>
      <c r="O79" s="873"/>
      <c r="P79" s="873"/>
      <c r="Q79" s="873"/>
      <c r="R79" s="873"/>
      <c r="S79" s="873"/>
      <c r="T79" s="873"/>
      <c r="U79" s="873"/>
      <c r="V79" s="873"/>
      <c r="W79" s="873"/>
      <c r="X79" s="873"/>
      <c r="Y79" s="873"/>
      <c r="Z79" s="873"/>
      <c r="AA79" s="873"/>
      <c r="AB79" s="873"/>
      <c r="AC79" s="873"/>
      <c r="AD79" s="873"/>
      <c r="AE79" s="873"/>
      <c r="AF79" s="873"/>
      <c r="AG79" s="873"/>
      <c r="AH79" s="873"/>
      <c r="AI79" s="873"/>
      <c r="AJ79" s="873"/>
      <c r="AK79" s="873"/>
      <c r="AL79" s="248"/>
      <c r="AM79" s="321"/>
      <c r="AN79" s="321"/>
      <c r="AO79" s="321"/>
      <c r="AP79" s="321"/>
      <c r="AQ79" s="321"/>
      <c r="AR79" s="321"/>
      <c r="AS79" s="321"/>
      <c r="AT79" s="321"/>
      <c r="AU79" s="321"/>
      <c r="AV79" s="321"/>
      <c r="AW79" s="321"/>
      <c r="AX79" s="321"/>
      <c r="AY79" s="321"/>
      <c r="AZ79" s="332"/>
      <c r="BA79" s="880"/>
    </row>
    <row r="80" spans="1:54" ht="15" customHeight="1" thickBot="1">
      <c r="A80" s="15"/>
      <c r="B80" s="876"/>
      <c r="C80" s="877"/>
      <c r="D80" s="877"/>
      <c r="E80" s="881" t="s">
        <v>2602</v>
      </c>
      <c r="F80" s="882"/>
      <c r="G80" s="872" t="s">
        <v>134</v>
      </c>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248"/>
      <c r="AM80" s="321"/>
      <c r="AN80" s="321"/>
      <c r="AO80" s="321"/>
      <c r="AP80" s="321"/>
      <c r="AQ80" s="321"/>
      <c r="AR80" s="321"/>
      <c r="AS80" s="321"/>
      <c r="AT80" s="321"/>
      <c r="AU80" s="321"/>
      <c r="AV80" s="321"/>
      <c r="AW80" s="321"/>
      <c r="AX80" s="321"/>
      <c r="AY80" s="248"/>
      <c r="AZ80" s="12"/>
      <c r="BA80" s="880"/>
    </row>
    <row r="81" spans="1:53" ht="28.2" customHeight="1" thickBot="1">
      <c r="A81" s="15"/>
      <c r="B81" s="704" t="s">
        <v>135</v>
      </c>
      <c r="C81" s="705"/>
      <c r="D81" s="898"/>
      <c r="E81" s="878" t="s">
        <v>2602</v>
      </c>
      <c r="F81" s="879"/>
      <c r="G81" s="872" t="s">
        <v>136</v>
      </c>
      <c r="H81" s="873"/>
      <c r="I81" s="873"/>
      <c r="J81" s="873"/>
      <c r="K81" s="873"/>
      <c r="L81" s="873"/>
      <c r="M81" s="873"/>
      <c r="N81" s="873"/>
      <c r="O81" s="873"/>
      <c r="P81" s="873"/>
      <c r="Q81" s="873"/>
      <c r="R81" s="873"/>
      <c r="S81" s="873"/>
      <c r="T81" s="873"/>
      <c r="U81" s="873"/>
      <c r="V81" s="873"/>
      <c r="W81" s="873"/>
      <c r="X81" s="873"/>
      <c r="Y81" s="873"/>
      <c r="Z81" s="873"/>
      <c r="AA81" s="873"/>
      <c r="AB81" s="873"/>
      <c r="AC81" s="873"/>
      <c r="AD81" s="873"/>
      <c r="AE81" s="873"/>
      <c r="AF81" s="873"/>
      <c r="AG81" s="873"/>
      <c r="AH81" s="873"/>
      <c r="AI81" s="873"/>
      <c r="AJ81" s="873"/>
      <c r="AK81" s="873"/>
      <c r="AL81" s="248"/>
      <c r="AM81" s="905" t="str">
        <f>IF(AND(AI58="該当", AND(E81="",E82= "")), "！⑰又は⑱の取組は必須です。","")</f>
        <v/>
      </c>
      <c r="AN81" s="906"/>
      <c r="AO81" s="906"/>
      <c r="AP81" s="906"/>
      <c r="AQ81" s="906"/>
      <c r="AR81" s="906"/>
      <c r="AS81" s="906"/>
      <c r="AT81" s="906"/>
      <c r="AU81" s="906"/>
      <c r="AV81" s="906"/>
      <c r="AW81" s="906"/>
      <c r="AX81" s="907"/>
      <c r="AY81" s="248"/>
      <c r="AZ81" s="12"/>
      <c r="BA81" s="908">
        <f>COUNTIF(E81:F88, "✓")+COUNTIF(E81:F88, "誓約")</f>
        <v>2</v>
      </c>
    </row>
    <row r="82" spans="1:53" ht="15" customHeight="1" thickBot="1">
      <c r="A82" s="15"/>
      <c r="B82" s="707"/>
      <c r="C82" s="708"/>
      <c r="D82" s="899"/>
      <c r="E82" s="881"/>
      <c r="F82" s="882"/>
      <c r="G82" s="872" t="s">
        <v>137</v>
      </c>
      <c r="H82" s="873"/>
      <c r="I82" s="873"/>
      <c r="J82" s="873"/>
      <c r="K82" s="873"/>
      <c r="L82" s="873"/>
      <c r="M82" s="873"/>
      <c r="N82" s="873"/>
      <c r="O82" s="873"/>
      <c r="P82" s="873"/>
      <c r="Q82" s="873"/>
      <c r="R82" s="873"/>
      <c r="S82" s="873"/>
      <c r="T82" s="873"/>
      <c r="U82" s="873"/>
      <c r="V82" s="873"/>
      <c r="W82" s="873"/>
      <c r="X82" s="873"/>
      <c r="Y82" s="873"/>
      <c r="Z82" s="873"/>
      <c r="AA82" s="873"/>
      <c r="AB82" s="873"/>
      <c r="AC82" s="873"/>
      <c r="AD82" s="873"/>
      <c r="AE82" s="873"/>
      <c r="AF82" s="873"/>
      <c r="AG82" s="873"/>
      <c r="AH82" s="873"/>
      <c r="AI82" s="873"/>
      <c r="AJ82" s="873"/>
      <c r="AK82" s="873"/>
      <c r="AL82" s="248"/>
      <c r="AM82" s="321"/>
      <c r="AN82" s="321"/>
      <c r="AO82" s="321"/>
      <c r="AP82" s="321"/>
      <c r="AQ82" s="321"/>
      <c r="AR82" s="321"/>
      <c r="AS82" s="321"/>
      <c r="AT82" s="321"/>
      <c r="AU82" s="321"/>
      <c r="AV82" s="321"/>
      <c r="AW82" s="321"/>
      <c r="AX82" s="321"/>
      <c r="AY82" s="321"/>
      <c r="AZ82" s="332"/>
      <c r="BA82" s="909"/>
    </row>
    <row r="83" spans="1:53" ht="26.55" customHeight="1">
      <c r="A83" s="15"/>
      <c r="B83" s="707"/>
      <c r="C83" s="708"/>
      <c r="D83" s="899"/>
      <c r="E83" s="881" t="s">
        <v>2602</v>
      </c>
      <c r="F83" s="882"/>
      <c r="G83" s="872" t="s">
        <v>138</v>
      </c>
      <c r="H83" s="873"/>
      <c r="I83" s="873"/>
      <c r="J83" s="873"/>
      <c r="K83" s="873"/>
      <c r="L83" s="873"/>
      <c r="M83" s="873"/>
      <c r="N83" s="873"/>
      <c r="O83" s="873"/>
      <c r="P83" s="873"/>
      <c r="Q83" s="873"/>
      <c r="R83" s="873"/>
      <c r="S83" s="873"/>
      <c r="T83" s="873"/>
      <c r="U83" s="873"/>
      <c r="V83" s="873"/>
      <c r="W83" s="873"/>
      <c r="X83" s="873"/>
      <c r="Y83" s="873"/>
      <c r="Z83" s="873"/>
      <c r="AA83" s="873"/>
      <c r="AB83" s="873"/>
      <c r="AC83" s="873"/>
      <c r="AD83" s="873"/>
      <c r="AE83" s="873"/>
      <c r="AF83" s="873"/>
      <c r="AG83" s="873"/>
      <c r="AH83" s="873"/>
      <c r="AI83" s="873"/>
      <c r="AJ83" s="873"/>
      <c r="AK83" s="873"/>
      <c r="AL83" s="248"/>
      <c r="AM83" s="847" t="str">
        <f>IF(AI58="該当", "！この区分（８項目）から３つ以上の取組が選択されていません。","！この区分（４項目）から２つ以上の取組が選択されていません。")</f>
        <v>！この区分（８項目）から３つ以上の取組が選択されていません。</v>
      </c>
      <c r="AN83" s="848"/>
      <c r="AO83" s="848"/>
      <c r="AP83" s="848"/>
      <c r="AQ83" s="848"/>
      <c r="AR83" s="848"/>
      <c r="AS83" s="848"/>
      <c r="AT83" s="848"/>
      <c r="AU83" s="848"/>
      <c r="AV83" s="848"/>
      <c r="AW83" s="848"/>
      <c r="AX83" s="849"/>
      <c r="AY83" s="321"/>
      <c r="AZ83" s="332"/>
      <c r="BA83" s="909"/>
    </row>
    <row r="84" spans="1:53" ht="15" customHeight="1" thickBot="1">
      <c r="A84" s="15"/>
      <c r="B84" s="707"/>
      <c r="C84" s="708"/>
      <c r="D84" s="899"/>
      <c r="E84" s="881"/>
      <c r="F84" s="882"/>
      <c r="G84" s="872" t="s">
        <v>139</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3"/>
      <c r="AL84" s="248"/>
      <c r="AM84" s="850"/>
      <c r="AN84" s="851"/>
      <c r="AO84" s="851"/>
      <c r="AP84" s="851"/>
      <c r="AQ84" s="851"/>
      <c r="AR84" s="851"/>
      <c r="AS84" s="851"/>
      <c r="AT84" s="851"/>
      <c r="AU84" s="851"/>
      <c r="AV84" s="851"/>
      <c r="AW84" s="851"/>
      <c r="AX84" s="852"/>
      <c r="AY84" s="248"/>
      <c r="AZ84" s="12"/>
      <c r="BA84" s="909"/>
    </row>
    <row r="85" spans="1:53" ht="27.6" customHeight="1">
      <c r="A85" s="15"/>
      <c r="B85" s="707"/>
      <c r="C85" s="708"/>
      <c r="D85" s="899"/>
      <c r="E85" s="881"/>
      <c r="F85" s="882"/>
      <c r="G85" s="872" t="s">
        <v>140</v>
      </c>
      <c r="H85" s="873"/>
      <c r="I85" s="873"/>
      <c r="J85" s="873"/>
      <c r="K85" s="873"/>
      <c r="L85" s="873"/>
      <c r="M85" s="873"/>
      <c r="N85" s="873"/>
      <c r="O85" s="873"/>
      <c r="P85" s="873"/>
      <c r="Q85" s="873"/>
      <c r="R85" s="873"/>
      <c r="S85" s="873"/>
      <c r="T85" s="873"/>
      <c r="U85" s="873"/>
      <c r="V85" s="873"/>
      <c r="W85" s="873"/>
      <c r="X85" s="873"/>
      <c r="Y85" s="873"/>
      <c r="Z85" s="873"/>
      <c r="AA85" s="873"/>
      <c r="AB85" s="873"/>
      <c r="AC85" s="873"/>
      <c r="AD85" s="873"/>
      <c r="AE85" s="873"/>
      <c r="AF85" s="873"/>
      <c r="AG85" s="873"/>
      <c r="AH85" s="873"/>
      <c r="AI85" s="873"/>
      <c r="AJ85" s="873"/>
      <c r="AK85" s="873"/>
      <c r="AL85" s="248"/>
      <c r="AM85" s="321"/>
      <c r="AN85" s="321"/>
      <c r="AO85" s="321"/>
      <c r="AP85" s="321"/>
      <c r="AQ85" s="321"/>
      <c r="AR85" s="321"/>
      <c r="AS85" s="321"/>
      <c r="AT85" s="321"/>
      <c r="AU85" s="321"/>
      <c r="AV85" s="321"/>
      <c r="AW85" s="321"/>
      <c r="AX85" s="321"/>
      <c r="AY85" s="321"/>
      <c r="AZ85" s="332"/>
      <c r="BA85" s="909"/>
    </row>
    <row r="86" spans="1:53" ht="28.2" customHeight="1">
      <c r="A86" s="15"/>
      <c r="B86" s="707"/>
      <c r="C86" s="708"/>
      <c r="D86" s="899"/>
      <c r="E86" s="881"/>
      <c r="F86" s="882"/>
      <c r="G86" s="872" t="s">
        <v>141</v>
      </c>
      <c r="H86" s="873"/>
      <c r="I86" s="873"/>
      <c r="J86" s="873"/>
      <c r="K86" s="873"/>
      <c r="L86" s="873"/>
      <c r="M86" s="873"/>
      <c r="N86" s="873"/>
      <c r="O86" s="873"/>
      <c r="P86" s="873"/>
      <c r="Q86" s="873"/>
      <c r="R86" s="873"/>
      <c r="S86" s="873"/>
      <c r="T86" s="873"/>
      <c r="U86" s="873"/>
      <c r="V86" s="873"/>
      <c r="W86" s="873"/>
      <c r="X86" s="873"/>
      <c r="Y86" s="873"/>
      <c r="Z86" s="873"/>
      <c r="AA86" s="873"/>
      <c r="AB86" s="873"/>
      <c r="AC86" s="873"/>
      <c r="AD86" s="873"/>
      <c r="AE86" s="873"/>
      <c r="AF86" s="873"/>
      <c r="AG86" s="873"/>
      <c r="AH86" s="873"/>
      <c r="AI86" s="873"/>
      <c r="AJ86" s="873"/>
      <c r="AK86" s="873"/>
      <c r="AL86" s="248"/>
      <c r="AM86" s="321"/>
      <c r="AN86" s="321"/>
      <c r="AO86" s="321"/>
      <c r="AP86" s="321"/>
      <c r="AQ86" s="321"/>
      <c r="AR86" s="321"/>
      <c r="AS86" s="321"/>
      <c r="AT86" s="321"/>
      <c r="AU86" s="321"/>
      <c r="AV86" s="321"/>
      <c r="AX86" s="321"/>
      <c r="AY86" s="321"/>
      <c r="AZ86" s="332"/>
      <c r="BA86" s="909"/>
    </row>
    <row r="87" spans="1:53" ht="46.95" customHeight="1">
      <c r="A87" s="15"/>
      <c r="B87" s="707"/>
      <c r="C87" s="708"/>
      <c r="D87" s="899"/>
      <c r="E87" s="881"/>
      <c r="F87" s="882"/>
      <c r="G87" s="872" t="s">
        <v>142</v>
      </c>
      <c r="H87" s="873"/>
      <c r="I87" s="873"/>
      <c r="J87" s="873"/>
      <c r="K87" s="873"/>
      <c r="L87" s="873"/>
      <c r="M87" s="873"/>
      <c r="N87" s="873"/>
      <c r="O87" s="873"/>
      <c r="P87" s="873"/>
      <c r="Q87" s="873"/>
      <c r="R87" s="873"/>
      <c r="S87" s="873"/>
      <c r="T87" s="873"/>
      <c r="U87" s="873"/>
      <c r="V87" s="873"/>
      <c r="W87" s="873"/>
      <c r="X87" s="873"/>
      <c r="Y87" s="873"/>
      <c r="Z87" s="873"/>
      <c r="AA87" s="873"/>
      <c r="AB87" s="873"/>
      <c r="AC87" s="873"/>
      <c r="AD87" s="873"/>
      <c r="AE87" s="873"/>
      <c r="AF87" s="873"/>
      <c r="AG87" s="873"/>
      <c r="AH87" s="873"/>
      <c r="AI87" s="873"/>
      <c r="AJ87" s="873"/>
      <c r="AK87" s="873"/>
      <c r="AL87" s="248"/>
      <c r="AM87" s="321"/>
      <c r="AN87" s="321"/>
      <c r="AO87" s="321"/>
      <c r="AP87" s="321"/>
      <c r="AQ87" s="321"/>
      <c r="AR87" s="321"/>
      <c r="AS87" s="321"/>
      <c r="AT87" s="321"/>
      <c r="AU87" s="321"/>
      <c r="AV87" s="321"/>
      <c r="AW87" s="321"/>
      <c r="AX87" s="321"/>
      <c r="AY87" s="248"/>
      <c r="AZ87" s="12"/>
      <c r="BA87" s="909"/>
    </row>
    <row r="88" spans="1:53" ht="42.6" customHeight="1">
      <c r="A88" s="15"/>
      <c r="B88" s="707"/>
      <c r="C88" s="708"/>
      <c r="D88" s="899"/>
      <c r="E88" s="881"/>
      <c r="F88" s="882"/>
      <c r="G88" s="872" t="s">
        <v>143</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248"/>
      <c r="AM88" s="321"/>
      <c r="AN88" s="321"/>
      <c r="AO88" s="321"/>
      <c r="AP88" s="321"/>
      <c r="AQ88" s="321"/>
      <c r="AR88" s="321"/>
      <c r="AS88" s="321"/>
      <c r="AT88" s="321"/>
      <c r="AU88" s="321"/>
      <c r="AV88" s="321"/>
      <c r="AW88" s="321"/>
      <c r="AX88" s="321"/>
      <c r="AY88" s="248"/>
      <c r="AZ88" s="12"/>
      <c r="BA88" s="910"/>
    </row>
    <row r="89" spans="1:53" ht="28.2" customHeight="1" thickBot="1">
      <c r="A89" s="15"/>
      <c r="B89" s="876"/>
      <c r="C89" s="877"/>
      <c r="D89" s="900"/>
      <c r="E89" s="901"/>
      <c r="F89" s="902"/>
      <c r="G89" s="903" t="s">
        <v>144</v>
      </c>
      <c r="H89" s="904"/>
      <c r="I89" s="904"/>
      <c r="J89" s="904"/>
      <c r="K89" s="904"/>
      <c r="L89" s="904"/>
      <c r="M89" s="904"/>
      <c r="N89" s="904"/>
      <c r="O89" s="904"/>
      <c r="P89" s="904"/>
      <c r="Q89" s="904"/>
      <c r="R89" s="904"/>
      <c r="S89" s="904"/>
      <c r="T89" s="904"/>
      <c r="U89" s="904"/>
      <c r="V89" s="904"/>
      <c r="W89" s="904"/>
      <c r="X89" s="904"/>
      <c r="Y89" s="904"/>
      <c r="Z89" s="904"/>
      <c r="AA89" s="904"/>
      <c r="AB89" s="904"/>
      <c r="AC89" s="904"/>
      <c r="AD89" s="904"/>
      <c r="AE89" s="904"/>
      <c r="AF89" s="904"/>
      <c r="AG89" s="904"/>
      <c r="AH89" s="904"/>
      <c r="AI89" s="904"/>
      <c r="AJ89" s="904"/>
      <c r="AK89" s="904"/>
      <c r="AL89" s="248"/>
      <c r="AM89" s="321"/>
      <c r="AN89" s="321"/>
      <c r="AO89" s="321"/>
      <c r="AP89" s="321"/>
      <c r="AQ89" s="321"/>
      <c r="AR89" s="321"/>
      <c r="AS89" s="321"/>
      <c r="AT89" s="321"/>
      <c r="AU89" s="321"/>
      <c r="AV89" s="321"/>
      <c r="AW89" s="321"/>
      <c r="AX89" s="321"/>
      <c r="AY89" s="248"/>
      <c r="AZ89" s="12"/>
      <c r="BA89" s="335"/>
    </row>
    <row r="90" spans="1:53" ht="24" customHeight="1">
      <c r="A90" s="15"/>
      <c r="B90" s="704" t="s">
        <v>145</v>
      </c>
      <c r="C90" s="705"/>
      <c r="D90" s="705"/>
      <c r="E90" s="878" t="s">
        <v>2602</v>
      </c>
      <c r="F90" s="879"/>
      <c r="G90" s="872" t="s">
        <v>146</v>
      </c>
      <c r="H90" s="873"/>
      <c r="I90" s="873"/>
      <c r="J90" s="873"/>
      <c r="K90" s="873"/>
      <c r="L90" s="873"/>
      <c r="M90" s="873"/>
      <c r="N90" s="873"/>
      <c r="O90" s="873"/>
      <c r="P90" s="873"/>
      <c r="Q90" s="873"/>
      <c r="R90" s="873"/>
      <c r="S90" s="873"/>
      <c r="T90" s="873"/>
      <c r="U90" s="873"/>
      <c r="V90" s="873"/>
      <c r="W90" s="873"/>
      <c r="X90" s="873"/>
      <c r="Y90" s="873"/>
      <c r="Z90" s="873"/>
      <c r="AA90" s="873"/>
      <c r="AB90" s="873"/>
      <c r="AC90" s="873"/>
      <c r="AD90" s="873"/>
      <c r="AE90" s="873"/>
      <c r="AF90" s="873"/>
      <c r="AG90" s="873"/>
      <c r="AH90" s="873"/>
      <c r="AI90" s="873"/>
      <c r="AJ90" s="873"/>
      <c r="AK90" s="873"/>
      <c r="AL90" s="336"/>
      <c r="AM90" s="847" t="str">
        <f>IF(AI58="該当", "！この区分（４項目）から２つ以上の取組が選択されていません。",  "！この区分（４項目）から１つ以上の取組が選択されていません。")</f>
        <v>！この区分（４項目）から２つ以上の取組が選択されていません。</v>
      </c>
      <c r="AN90" s="848"/>
      <c r="AO90" s="848"/>
      <c r="AP90" s="848"/>
      <c r="AQ90" s="848"/>
      <c r="AR90" s="848"/>
      <c r="AS90" s="848"/>
      <c r="AT90" s="848"/>
      <c r="AU90" s="848"/>
      <c r="AV90" s="848"/>
      <c r="AW90" s="848"/>
      <c r="AX90" s="849"/>
      <c r="AY90" s="248"/>
      <c r="AZ90" s="12"/>
      <c r="BA90" s="880">
        <f>COUNTIF(E90:F93, "✓")+COUNTIF(E90:F93, "誓約")</f>
        <v>1</v>
      </c>
    </row>
    <row r="91" spans="1:53" ht="15" customHeight="1" thickBot="1">
      <c r="A91" s="15"/>
      <c r="B91" s="707"/>
      <c r="C91" s="708"/>
      <c r="D91" s="708"/>
      <c r="E91" s="881"/>
      <c r="F91" s="882"/>
      <c r="G91" s="872" t="s">
        <v>147</v>
      </c>
      <c r="H91" s="873"/>
      <c r="I91" s="873"/>
      <c r="J91" s="873"/>
      <c r="K91" s="873"/>
      <c r="L91" s="873"/>
      <c r="M91" s="873"/>
      <c r="N91" s="873"/>
      <c r="O91" s="873"/>
      <c r="P91" s="873"/>
      <c r="Q91" s="873"/>
      <c r="R91" s="873"/>
      <c r="S91" s="873"/>
      <c r="T91" s="873"/>
      <c r="U91" s="873"/>
      <c r="V91" s="873"/>
      <c r="W91" s="873"/>
      <c r="X91" s="873"/>
      <c r="Y91" s="873"/>
      <c r="Z91" s="873"/>
      <c r="AA91" s="873"/>
      <c r="AB91" s="873"/>
      <c r="AC91" s="873"/>
      <c r="AD91" s="873"/>
      <c r="AE91" s="873"/>
      <c r="AF91" s="873"/>
      <c r="AG91" s="873"/>
      <c r="AH91" s="873"/>
      <c r="AI91" s="873"/>
      <c r="AJ91" s="873"/>
      <c r="AK91" s="873"/>
      <c r="AL91" s="248"/>
      <c r="AM91" s="850"/>
      <c r="AN91" s="851"/>
      <c r="AO91" s="851"/>
      <c r="AP91" s="851"/>
      <c r="AQ91" s="851"/>
      <c r="AR91" s="851"/>
      <c r="AS91" s="851"/>
      <c r="AT91" s="851"/>
      <c r="AU91" s="851"/>
      <c r="AV91" s="851"/>
      <c r="AW91" s="851"/>
      <c r="AX91" s="852"/>
      <c r="AY91" s="321"/>
      <c r="AZ91" s="332"/>
      <c r="BA91" s="880"/>
    </row>
    <row r="92" spans="1:53" ht="15" customHeight="1">
      <c r="A92" s="15"/>
      <c r="B92" s="707"/>
      <c r="C92" s="708"/>
      <c r="D92" s="708"/>
      <c r="E92" s="881"/>
      <c r="F92" s="882"/>
      <c r="G92" s="872" t="s">
        <v>148</v>
      </c>
      <c r="H92" s="873"/>
      <c r="I92" s="873"/>
      <c r="J92" s="873"/>
      <c r="K92" s="873"/>
      <c r="L92" s="873"/>
      <c r="M92" s="873"/>
      <c r="N92" s="873"/>
      <c r="O92" s="873"/>
      <c r="P92" s="873"/>
      <c r="Q92" s="873"/>
      <c r="R92" s="873"/>
      <c r="S92" s="873"/>
      <c r="T92" s="873"/>
      <c r="U92" s="873"/>
      <c r="V92" s="873"/>
      <c r="W92" s="873"/>
      <c r="X92" s="873"/>
      <c r="Y92" s="873"/>
      <c r="Z92" s="873"/>
      <c r="AA92" s="873"/>
      <c r="AB92" s="873"/>
      <c r="AC92" s="873"/>
      <c r="AD92" s="873"/>
      <c r="AE92" s="873"/>
      <c r="AF92" s="873"/>
      <c r="AG92" s="873"/>
      <c r="AH92" s="873"/>
      <c r="AI92" s="873"/>
      <c r="AJ92" s="873"/>
      <c r="AK92" s="873"/>
      <c r="AL92" s="248"/>
      <c r="AM92" s="285"/>
      <c r="AN92" s="285"/>
      <c r="AO92" s="285"/>
      <c r="AP92" s="285"/>
      <c r="AQ92" s="285"/>
      <c r="AR92" s="285"/>
      <c r="AS92" s="285"/>
      <c r="AT92" s="285"/>
      <c r="AU92" s="285"/>
      <c r="AV92" s="285"/>
      <c r="AW92" s="285"/>
      <c r="AX92" s="285"/>
      <c r="AY92" s="321"/>
      <c r="AZ92" s="332"/>
      <c r="BA92" s="880"/>
    </row>
    <row r="93" spans="1:53" ht="15" customHeight="1" thickBot="1">
      <c r="A93" s="15"/>
      <c r="B93" s="876"/>
      <c r="C93" s="877"/>
      <c r="D93" s="877"/>
      <c r="E93" s="901"/>
      <c r="F93" s="902"/>
      <c r="G93" s="872" t="s">
        <v>149</v>
      </c>
      <c r="H93" s="873"/>
      <c r="I93" s="873"/>
      <c r="J93" s="873"/>
      <c r="K93" s="873"/>
      <c r="L93" s="873"/>
      <c r="M93" s="873"/>
      <c r="N93" s="873"/>
      <c r="O93" s="873"/>
      <c r="P93" s="873"/>
      <c r="Q93" s="873"/>
      <c r="R93" s="873"/>
      <c r="S93" s="873"/>
      <c r="T93" s="873"/>
      <c r="U93" s="873"/>
      <c r="V93" s="873"/>
      <c r="W93" s="873"/>
      <c r="X93" s="873"/>
      <c r="Y93" s="873"/>
      <c r="Z93" s="873"/>
      <c r="AA93" s="873"/>
      <c r="AB93" s="873"/>
      <c r="AC93" s="873"/>
      <c r="AD93" s="873"/>
      <c r="AE93" s="873"/>
      <c r="AF93" s="873"/>
      <c r="AG93" s="873"/>
      <c r="AH93" s="873"/>
      <c r="AI93" s="873"/>
      <c r="AJ93" s="873"/>
      <c r="AK93" s="873"/>
      <c r="AL93" s="15"/>
      <c r="AM93" s="285"/>
      <c r="AN93" s="285"/>
      <c r="AO93" s="285"/>
      <c r="AP93" s="285"/>
      <c r="AQ93" s="285"/>
      <c r="AR93" s="285"/>
      <c r="AS93" s="285"/>
      <c r="AT93" s="285"/>
      <c r="AU93" s="285"/>
      <c r="AV93" s="285"/>
      <c r="AW93" s="285"/>
      <c r="AX93" s="285"/>
      <c r="AY93" s="15"/>
      <c r="BA93" s="880"/>
    </row>
    <row r="94" spans="1:53" ht="4.95"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59" t="s">
        <v>151</v>
      </c>
      <c r="D96" s="859"/>
      <c r="E96" s="859"/>
      <c r="F96" s="859"/>
      <c r="G96" s="859"/>
      <c r="H96" s="859"/>
      <c r="I96" s="859"/>
      <c r="J96" s="859"/>
      <c r="K96" s="859"/>
      <c r="L96" s="859"/>
      <c r="M96" s="859"/>
      <c r="N96" s="859"/>
      <c r="O96" s="859"/>
      <c r="P96" s="859"/>
      <c r="Q96" s="859"/>
      <c r="R96" s="859"/>
      <c r="S96" s="859"/>
      <c r="T96" s="859"/>
      <c r="U96" s="859"/>
      <c r="V96" s="859"/>
      <c r="W96" s="859"/>
      <c r="X96" s="859"/>
      <c r="Y96" s="859"/>
      <c r="Z96" s="859"/>
      <c r="AA96" s="859"/>
      <c r="AB96" s="859"/>
      <c r="AC96" s="859"/>
      <c r="AD96" s="859"/>
      <c r="AE96" s="859"/>
      <c r="AF96" s="859"/>
      <c r="AG96" s="859"/>
      <c r="AH96" s="859"/>
      <c r="AI96" s="859"/>
      <c r="AJ96" s="920"/>
      <c r="AK96" s="344" t="str">
        <f>IF(AND($BA40=0,$BE40=0),"",IF($AI58="該当",IF(COUNTIF($F97:$F98,"✓")&gt;0,"○","×"),"×"))</f>
        <v>○</v>
      </c>
      <c r="AL96" s="15"/>
      <c r="AY96" s="96"/>
    </row>
    <row r="97" spans="1:56" s="96" customFormat="1" ht="29.25" customHeight="1">
      <c r="A97" s="336"/>
      <c r="B97" s="921" t="s">
        <v>152</v>
      </c>
      <c r="C97" s="922"/>
      <c r="D97" s="922"/>
      <c r="E97" s="923" t="b">
        <v>0</v>
      </c>
      <c r="F97" s="400" t="s">
        <v>2602</v>
      </c>
      <c r="G97" s="927" t="s">
        <v>153</v>
      </c>
      <c r="H97" s="927"/>
      <c r="I97" s="927"/>
      <c r="J97" s="927"/>
      <c r="K97" s="927"/>
      <c r="L97" s="927"/>
      <c r="M97" s="927"/>
      <c r="N97" s="927"/>
      <c r="O97" s="927"/>
      <c r="P97" s="927"/>
      <c r="Q97" s="927"/>
      <c r="R97" s="927"/>
      <c r="S97" s="927"/>
      <c r="T97" s="927"/>
      <c r="U97" s="927"/>
      <c r="V97" s="927"/>
      <c r="W97" s="927"/>
      <c r="X97" s="927"/>
      <c r="Y97" s="927"/>
      <c r="Z97" s="927"/>
      <c r="AA97" s="927"/>
      <c r="AB97" s="927"/>
      <c r="AC97" s="927"/>
      <c r="AD97" s="927"/>
      <c r="AE97" s="927"/>
      <c r="AF97" s="927"/>
      <c r="AG97" s="927"/>
      <c r="AH97" s="927"/>
      <c r="AI97" s="927"/>
      <c r="AJ97" s="927"/>
      <c r="AK97" s="928"/>
      <c r="AL97" s="248"/>
      <c r="AM97" s="847" t="s">
        <v>154</v>
      </c>
      <c r="AN97" s="848"/>
      <c r="AO97" s="848"/>
      <c r="AP97" s="848"/>
      <c r="AQ97" s="848"/>
      <c r="AR97" s="848"/>
      <c r="AS97" s="848"/>
      <c r="AT97" s="848"/>
      <c r="AU97" s="848"/>
      <c r="AV97" s="848"/>
      <c r="AW97" s="848"/>
      <c r="AX97" s="849"/>
    </row>
    <row r="98" spans="1:56" s="96" customFormat="1" ht="29.25" customHeight="1" thickBot="1">
      <c r="A98" s="336"/>
      <c r="B98" s="924"/>
      <c r="C98" s="925"/>
      <c r="D98" s="925"/>
      <c r="E98" s="926" t="b">
        <v>0</v>
      </c>
      <c r="F98" s="401"/>
      <c r="G98" s="929" t="s">
        <v>155</v>
      </c>
      <c r="H98" s="929"/>
      <c r="I98" s="929"/>
      <c r="J98" s="929"/>
      <c r="K98" s="929"/>
      <c r="L98" s="929"/>
      <c r="M98" s="929"/>
      <c r="N98" s="929"/>
      <c r="O98" s="929"/>
      <c r="P98" s="929"/>
      <c r="Q98" s="929"/>
      <c r="R98" s="929"/>
      <c r="S98" s="929"/>
      <c r="T98" s="929"/>
      <c r="U98" s="929"/>
      <c r="V98" s="929"/>
      <c r="W98" s="929"/>
      <c r="X98" s="929"/>
      <c r="Y98" s="929"/>
      <c r="Z98" s="929"/>
      <c r="AA98" s="929"/>
      <c r="AB98" s="929"/>
      <c r="AC98" s="929"/>
      <c r="AD98" s="929"/>
      <c r="AE98" s="929"/>
      <c r="AF98" s="929"/>
      <c r="AG98" s="929"/>
      <c r="AH98" s="929"/>
      <c r="AI98" s="929"/>
      <c r="AJ98" s="929"/>
      <c r="AK98" s="930"/>
      <c r="AL98" s="15"/>
      <c r="AM98" s="850"/>
      <c r="AN98" s="851"/>
      <c r="AO98" s="851"/>
      <c r="AP98" s="851"/>
      <c r="AQ98" s="851"/>
      <c r="AR98" s="851"/>
      <c r="AS98" s="851"/>
      <c r="AT98" s="851"/>
      <c r="AU98" s="851"/>
      <c r="AV98" s="851"/>
      <c r="AW98" s="851"/>
      <c r="AX98" s="85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49"/>
      <c r="AN100" s="949"/>
      <c r="AO100" s="949"/>
      <c r="AP100" s="949"/>
      <c r="AQ100" s="949"/>
      <c r="AR100" s="949"/>
      <c r="AS100" s="949"/>
      <c r="AT100" s="949"/>
      <c r="AU100" s="949"/>
      <c r="AV100" s="949"/>
      <c r="AW100" s="949"/>
      <c r="AX100" s="949"/>
      <c r="AY100" s="949"/>
      <c r="BA100" s="950" t="s">
        <v>78</v>
      </c>
      <c r="BB100" s="950"/>
      <c r="BC100" s="950"/>
      <c r="BD100" s="950"/>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49"/>
      <c r="AN101" s="949"/>
      <c r="AO101" s="949"/>
      <c r="AP101" s="949"/>
      <c r="AQ101" s="949"/>
      <c r="AR101" s="949"/>
      <c r="AS101" s="949"/>
      <c r="AT101" s="949"/>
      <c r="AU101" s="949"/>
      <c r="AV101" s="949"/>
      <c r="AW101" s="949"/>
      <c r="AX101" s="949"/>
      <c r="AY101" s="949"/>
    </row>
    <row r="102" spans="1:56" ht="111" customHeight="1" thickBot="1">
      <c r="A102" s="337"/>
      <c r="B102" s="956" t="s">
        <v>158</v>
      </c>
      <c r="C102" s="957"/>
      <c r="D102" s="957"/>
      <c r="E102" s="957"/>
      <c r="F102" s="957"/>
      <c r="G102" s="957"/>
      <c r="H102" s="957"/>
      <c r="I102" s="957"/>
      <c r="J102" s="957"/>
      <c r="K102" s="957"/>
      <c r="L102" s="957"/>
      <c r="M102" s="957"/>
      <c r="N102" s="957"/>
      <c r="O102" s="957"/>
      <c r="P102" s="957"/>
      <c r="Q102" s="957"/>
      <c r="R102" s="957"/>
      <c r="S102" s="957"/>
      <c r="T102" s="957"/>
      <c r="U102" s="957"/>
      <c r="V102" s="957"/>
      <c r="W102" s="957"/>
      <c r="X102" s="957"/>
      <c r="Y102" s="957"/>
      <c r="Z102" s="957"/>
      <c r="AA102" s="957"/>
      <c r="AB102" s="957"/>
      <c r="AC102" s="957"/>
      <c r="AD102" s="957"/>
      <c r="AE102" s="957"/>
      <c r="AF102" s="957"/>
      <c r="AG102" s="957"/>
      <c r="AH102" s="957"/>
      <c r="AI102" s="957"/>
      <c r="AJ102" s="957"/>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911" t="s">
        <v>162</v>
      </c>
      <c r="AF106" s="912"/>
      <c r="AG106" s="912"/>
      <c r="AH106" s="912"/>
      <c r="AI106" s="912"/>
      <c r="AJ106" s="913"/>
      <c r="AK106" s="258" t="str">
        <f>IF(H6="", "", IF(AND(BA107=TRUE,OR(BA108=TRUE),BA109=TRUE,BA110=TRUE, BA112=TRUE, BA111=TRUE,BA113=TRUE),"○","×"))</f>
        <v>○</v>
      </c>
      <c r="AL106" s="15"/>
      <c r="AM106" s="914" t="s">
        <v>163</v>
      </c>
      <c r="AN106" s="915"/>
      <c r="AO106" s="915"/>
      <c r="AP106" s="915"/>
      <c r="AQ106" s="915"/>
      <c r="AR106" s="915"/>
      <c r="AS106" s="915"/>
      <c r="AT106" s="915"/>
      <c r="AU106" s="915"/>
      <c r="AV106" s="915"/>
      <c r="AW106" s="915"/>
      <c r="AX106" s="915"/>
      <c r="AY106" s="916"/>
      <c r="BA106" s="358"/>
    </row>
    <row r="107" spans="1:56" s="12" customFormat="1" ht="48.75" customHeight="1">
      <c r="A107" s="248"/>
      <c r="B107" s="504"/>
      <c r="C107" s="958" t="s">
        <v>164</v>
      </c>
      <c r="D107" s="842"/>
      <c r="E107" s="842"/>
      <c r="F107" s="842"/>
      <c r="G107" s="842"/>
      <c r="H107" s="842"/>
      <c r="I107" s="842"/>
      <c r="J107" s="842"/>
      <c r="K107" s="842"/>
      <c r="L107" s="842"/>
      <c r="M107" s="842"/>
      <c r="N107" s="842"/>
      <c r="O107" s="842"/>
      <c r="P107" s="842"/>
      <c r="Q107" s="842"/>
      <c r="R107" s="842"/>
      <c r="S107" s="842"/>
      <c r="T107" s="842"/>
      <c r="U107" s="842"/>
      <c r="V107" s="842"/>
      <c r="W107" s="842"/>
      <c r="X107" s="842"/>
      <c r="Y107" s="842"/>
      <c r="Z107" s="842"/>
      <c r="AA107" s="842"/>
      <c r="AB107" s="842"/>
      <c r="AC107" s="842"/>
      <c r="AD107" s="959"/>
      <c r="AE107" s="917" t="s">
        <v>165</v>
      </c>
      <c r="AF107" s="918"/>
      <c r="AG107" s="918"/>
      <c r="AH107" s="918"/>
      <c r="AI107" s="918"/>
      <c r="AJ107" s="918"/>
      <c r="AK107" s="919"/>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958" t="s">
        <v>166</v>
      </c>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959"/>
      <c r="AE108" s="917" t="s">
        <v>165</v>
      </c>
      <c r="AF108" s="918"/>
      <c r="AG108" s="918"/>
      <c r="AH108" s="918"/>
      <c r="AI108" s="918"/>
      <c r="AJ108" s="918"/>
      <c r="AK108" s="918"/>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940" t="s">
        <v>167</v>
      </c>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1"/>
      <c r="AA109" s="941"/>
      <c r="AB109" s="941"/>
      <c r="AC109" s="941"/>
      <c r="AD109" s="942"/>
      <c r="AE109" s="917" t="s">
        <v>168</v>
      </c>
      <c r="AF109" s="918"/>
      <c r="AG109" s="918"/>
      <c r="AH109" s="918"/>
      <c r="AI109" s="918"/>
      <c r="AJ109" s="918"/>
      <c r="AK109" s="918"/>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940" t="s">
        <v>169</v>
      </c>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1"/>
      <c r="AA110" s="941"/>
      <c r="AB110" s="941"/>
      <c r="AC110" s="941"/>
      <c r="AD110" s="942"/>
      <c r="AE110" s="931" t="s">
        <v>170</v>
      </c>
      <c r="AF110" s="932"/>
      <c r="AG110" s="932"/>
      <c r="AH110" s="932"/>
      <c r="AI110" s="932"/>
      <c r="AJ110" s="932"/>
      <c r="AK110" s="932"/>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940" t="s">
        <v>171</v>
      </c>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1"/>
      <c r="AA111" s="941"/>
      <c r="AB111" s="941"/>
      <c r="AC111" s="941"/>
      <c r="AD111" s="942"/>
      <c r="AE111" s="917" t="s">
        <v>172</v>
      </c>
      <c r="AF111" s="918"/>
      <c r="AG111" s="918"/>
      <c r="AH111" s="918"/>
      <c r="AI111" s="918"/>
      <c r="AJ111" s="918"/>
      <c r="AK111" s="918"/>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937" t="s">
        <v>173</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8"/>
      <c r="AA112" s="938"/>
      <c r="AB112" s="938"/>
      <c r="AC112" s="938"/>
      <c r="AD112" s="939"/>
      <c r="AE112" s="960" t="s">
        <v>174</v>
      </c>
      <c r="AF112" s="961"/>
      <c r="AG112" s="961"/>
      <c r="AH112" s="961"/>
      <c r="AI112" s="961"/>
      <c r="AJ112" s="961"/>
      <c r="AK112" s="961"/>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940" t="s">
        <v>175</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1"/>
      <c r="AA113" s="941"/>
      <c r="AB113" s="941"/>
      <c r="AC113" s="941"/>
      <c r="AD113" s="942"/>
      <c r="AE113" s="931" t="s">
        <v>170</v>
      </c>
      <c r="AF113" s="932"/>
      <c r="AG113" s="932"/>
      <c r="AH113" s="932"/>
      <c r="AI113" s="932"/>
      <c r="AJ113" s="932"/>
      <c r="AK113" s="932"/>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943" t="s">
        <v>178</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3"/>
      <c r="AA116" s="943"/>
      <c r="AB116" s="943"/>
      <c r="AC116" s="943"/>
      <c r="AD116" s="943"/>
      <c r="AE116" s="943"/>
      <c r="AF116" s="943"/>
      <c r="AG116" s="943"/>
      <c r="AH116" s="943"/>
      <c r="AI116" s="943"/>
      <c r="AJ116" s="943"/>
      <c r="AK116" s="943"/>
      <c r="AL116" s="15"/>
      <c r="AM116" s="248"/>
      <c r="AN116" s="248"/>
      <c r="AO116" s="248"/>
      <c r="AP116" s="248"/>
      <c r="AQ116" s="248"/>
      <c r="AR116" s="248"/>
      <c r="AS116" s="248"/>
      <c r="AT116" s="248"/>
      <c r="AU116" s="248"/>
      <c r="AV116" s="248"/>
      <c r="AW116" s="248"/>
      <c r="AX116" s="248"/>
      <c r="AY116" s="248"/>
    </row>
    <row r="117" spans="1:53" s="12" customFormat="1" ht="5.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44" t="s">
        <v>179</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4"/>
      <c r="AA120" s="944"/>
      <c r="AB120" s="944"/>
      <c r="AC120" s="944"/>
      <c r="AD120" s="944"/>
      <c r="AE120" s="944"/>
      <c r="AF120" s="944"/>
      <c r="AG120" s="944"/>
      <c r="AH120" s="944"/>
      <c r="AI120" s="944"/>
      <c r="AJ120" s="944"/>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33">
        <v>8</v>
      </c>
      <c r="F122" s="934"/>
      <c r="G122" s="372" t="s">
        <v>181</v>
      </c>
      <c r="H122" s="933">
        <v>4</v>
      </c>
      <c r="I122" s="934"/>
      <c r="J122" s="372" t="s">
        <v>182</v>
      </c>
      <c r="K122" s="933">
        <v>1</v>
      </c>
      <c r="L122" s="934"/>
      <c r="M122" s="372" t="s">
        <v>183</v>
      </c>
      <c r="N122" s="354"/>
      <c r="O122" s="935" t="s">
        <v>53</v>
      </c>
      <c r="P122" s="935"/>
      <c r="Q122" s="935"/>
      <c r="R122" s="936" t="str">
        <f>IF(H6="","",H6)</f>
        <v>社会福祉法人　長福</v>
      </c>
      <c r="S122" s="936"/>
      <c r="T122" s="936"/>
      <c r="U122" s="936"/>
      <c r="V122" s="936"/>
      <c r="W122" s="936"/>
      <c r="X122" s="936"/>
      <c r="Y122" s="936"/>
      <c r="Z122" s="936"/>
      <c r="AA122" s="936"/>
      <c r="AB122" s="936"/>
      <c r="AC122" s="936"/>
      <c r="AD122" s="936"/>
      <c r="AE122" s="936"/>
      <c r="AF122" s="936"/>
      <c r="AG122" s="936"/>
      <c r="AH122" s="936"/>
      <c r="AI122" s="936"/>
      <c r="AJ122" s="373"/>
      <c r="AK122" s="374"/>
      <c r="AL122" s="375"/>
      <c r="AM122" s="15"/>
      <c r="AN122" s="15"/>
      <c r="AO122" s="15"/>
      <c r="AP122" s="15"/>
      <c r="AQ122" s="15"/>
      <c r="AR122" s="15"/>
      <c r="AS122" s="15"/>
      <c r="AT122" s="15"/>
      <c r="AU122" s="15"/>
      <c r="AV122" s="15"/>
      <c r="AW122" s="269"/>
      <c r="AX122" s="15"/>
      <c r="AY122" s="15"/>
      <c r="AZ122"/>
    </row>
    <row r="123" spans="1:53" s="12" customFormat="1" ht="14.55" customHeight="1">
      <c r="A123" s="15"/>
      <c r="B123" s="371"/>
      <c r="C123" s="376"/>
      <c r="D123" s="372"/>
      <c r="E123" s="372"/>
      <c r="F123" s="372"/>
      <c r="G123" s="372"/>
      <c r="H123" s="372"/>
      <c r="I123" s="372"/>
      <c r="J123" s="372"/>
      <c r="K123" s="372"/>
      <c r="L123" s="372"/>
      <c r="M123" s="372"/>
      <c r="N123" s="945" t="s">
        <v>184</v>
      </c>
      <c r="O123" s="945"/>
      <c r="P123" s="945"/>
      <c r="Q123" s="945"/>
      <c r="R123" s="946" t="s">
        <v>20</v>
      </c>
      <c r="S123" s="946"/>
      <c r="T123" s="947" t="str">
        <f>IF(基本情報入力シート!L20="", "", 基本情報入力シート!L20)</f>
        <v>理事長</v>
      </c>
      <c r="U123" s="947"/>
      <c r="V123" s="947"/>
      <c r="W123" s="947"/>
      <c r="X123" s="947"/>
      <c r="Y123" s="948" t="s">
        <v>21</v>
      </c>
      <c r="Z123" s="948"/>
      <c r="AA123" s="947" t="str">
        <f>IF(基本情報入力シート!L21="", "", 基本情報入力シート!L21)</f>
        <v>長福　一郎</v>
      </c>
      <c r="AB123" s="947"/>
      <c r="AC123" s="947"/>
      <c r="AD123" s="947"/>
      <c r="AE123" s="947"/>
      <c r="AF123" s="947"/>
      <c r="AG123" s="947"/>
      <c r="AH123" s="947"/>
      <c r="AI123" s="947"/>
      <c r="AJ123" s="376"/>
      <c r="AK123" s="377"/>
      <c r="AL123" s="375"/>
      <c r="AM123" s="375"/>
      <c r="AN123" s="15"/>
      <c r="AO123" s="15"/>
      <c r="AP123" s="15"/>
      <c r="AQ123" s="15"/>
      <c r="AR123" s="15"/>
      <c r="AS123" s="15"/>
      <c r="AT123" s="15"/>
      <c r="AU123" s="15"/>
      <c r="AV123" s="15"/>
      <c r="AW123" s="269"/>
      <c r="AX123" s="15"/>
      <c r="AY123" s="15"/>
      <c r="AZ123"/>
      <c r="BA123"/>
    </row>
    <row r="124" spans="1:53" ht="5.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971" t="s">
        <v>189</v>
      </c>
      <c r="C130" s="972"/>
      <c r="D130" s="972"/>
      <c r="E130" s="972"/>
      <c r="F130" s="972"/>
      <c r="G130" s="972"/>
      <c r="H130" s="972"/>
      <c r="I130" s="972"/>
      <c r="J130" s="972"/>
      <c r="K130" s="972"/>
      <c r="L130" s="972"/>
      <c r="M130" s="972"/>
      <c r="N130" s="972"/>
      <c r="O130" s="972"/>
      <c r="P130" s="972"/>
      <c r="Q130" s="972"/>
      <c r="R130" s="972"/>
      <c r="S130" s="972"/>
      <c r="T130" s="972"/>
      <c r="U130" s="972"/>
      <c r="V130" s="972"/>
      <c r="W130" s="972"/>
      <c r="X130" s="972"/>
      <c r="Y130" s="972"/>
      <c r="Z130" s="972"/>
      <c r="AA130" s="972"/>
      <c r="AB130" s="972"/>
      <c r="AC130" s="972"/>
      <c r="AD130" s="972"/>
      <c r="AE130" s="972"/>
      <c r="AF130" s="972"/>
      <c r="AG130" s="972"/>
      <c r="AH130" s="972"/>
      <c r="AI130" s="972"/>
      <c r="AJ130" s="972"/>
      <c r="AK130" s="973"/>
      <c r="AL130" s="15"/>
    </row>
    <row r="131" spans="1:38">
      <c r="A131" s="15"/>
      <c r="B131" s="980" t="s">
        <v>190</v>
      </c>
      <c r="C131" s="981"/>
      <c r="D131" s="981"/>
      <c r="E131" s="981"/>
      <c r="F131" s="981"/>
      <c r="G131" s="981"/>
      <c r="H131" s="981"/>
      <c r="I131" s="981"/>
      <c r="J131" s="981"/>
      <c r="K131" s="981"/>
      <c r="L131" s="981"/>
      <c r="M131" s="981"/>
      <c r="N131" s="981"/>
      <c r="O131" s="981"/>
      <c r="P131" s="981"/>
      <c r="Q131" s="981"/>
      <c r="R131" s="981"/>
      <c r="S131" s="981"/>
      <c r="T131" s="981"/>
      <c r="U131" s="981"/>
      <c r="V131" s="981"/>
      <c r="W131" s="981"/>
      <c r="X131" s="981"/>
      <c r="Y131" s="981"/>
      <c r="Z131" s="981"/>
      <c r="AA131" s="981"/>
      <c r="AB131" s="981"/>
      <c r="AC131" s="981"/>
      <c r="AD131" s="981"/>
      <c r="AE131" s="981"/>
      <c r="AF131" s="981"/>
      <c r="AG131" s="981"/>
      <c r="AH131" s="981"/>
      <c r="AI131" s="981"/>
      <c r="AJ131" s="982"/>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971" t="s">
        <v>191</v>
      </c>
      <c r="C133" s="972"/>
      <c r="D133" s="972"/>
      <c r="E133" s="972"/>
      <c r="F133" s="972"/>
      <c r="G133" s="972"/>
      <c r="H133" s="972"/>
      <c r="I133" s="972"/>
      <c r="J133" s="972"/>
      <c r="K133" s="972"/>
      <c r="L133" s="972"/>
      <c r="M133" s="972"/>
      <c r="N133" s="972"/>
      <c r="O133" s="972"/>
      <c r="P133" s="972"/>
      <c r="Q133" s="972"/>
      <c r="R133" s="972"/>
      <c r="S133" s="972"/>
      <c r="T133" s="972"/>
      <c r="U133" s="972"/>
      <c r="V133" s="972"/>
      <c r="W133" s="972"/>
      <c r="X133" s="972"/>
      <c r="Y133" s="972"/>
      <c r="Z133" s="972"/>
      <c r="AA133" s="972"/>
      <c r="AB133" s="972"/>
      <c r="AC133" s="972"/>
      <c r="AD133" s="972"/>
      <c r="AE133" s="972"/>
      <c r="AF133" s="972"/>
      <c r="AG133" s="972"/>
      <c r="AH133" s="972"/>
      <c r="AI133" s="972"/>
      <c r="AJ133" s="972"/>
      <c r="AK133" s="973"/>
      <c r="AL133" s="15"/>
    </row>
    <row r="134" spans="1:38" s="96" customFormat="1" ht="15" customHeight="1">
      <c r="A134" s="336"/>
      <c r="B134" s="391" t="s">
        <v>192</v>
      </c>
      <c r="C134" s="965" t="s">
        <v>193</v>
      </c>
      <c r="D134" s="966"/>
      <c r="E134" s="966"/>
      <c r="F134" s="966"/>
      <c r="G134" s="966"/>
      <c r="H134" s="966"/>
      <c r="I134" s="967"/>
      <c r="J134" s="954" t="s">
        <v>194</v>
      </c>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5"/>
      <c r="AK134" s="390" t="str">
        <f>IF(H6="", "",IF(AND(AK24="○", AB25="○"), "○", "×"))</f>
        <v>○</v>
      </c>
      <c r="AL134" s="15"/>
    </row>
    <row r="135" spans="1:38" s="96" customFormat="1" ht="25.95" customHeight="1">
      <c r="A135" s="336"/>
      <c r="B135" s="391" t="s">
        <v>195</v>
      </c>
      <c r="C135" s="968" t="s">
        <v>196</v>
      </c>
      <c r="D135" s="969"/>
      <c r="E135" s="969"/>
      <c r="F135" s="969"/>
      <c r="G135" s="969"/>
      <c r="H135" s="969"/>
      <c r="I135" s="970"/>
      <c r="J135" s="952" t="s">
        <v>197</v>
      </c>
      <c r="K135" s="952"/>
      <c r="L135" s="952"/>
      <c r="M135" s="952"/>
      <c r="N135" s="952"/>
      <c r="O135" s="952"/>
      <c r="P135" s="952"/>
      <c r="Q135" s="952"/>
      <c r="R135" s="952"/>
      <c r="S135" s="952"/>
      <c r="T135" s="952"/>
      <c r="U135" s="952"/>
      <c r="V135" s="952"/>
      <c r="W135" s="952"/>
      <c r="X135" s="952"/>
      <c r="Y135" s="952"/>
      <c r="Z135" s="952"/>
      <c r="AA135" s="952"/>
      <c r="AB135" s="952"/>
      <c r="AC135" s="952"/>
      <c r="AD135" s="952"/>
      <c r="AE135" s="952"/>
      <c r="AF135" s="952"/>
      <c r="AG135" s="952"/>
      <c r="AH135" s="952"/>
      <c r="AI135" s="952"/>
      <c r="AJ135" s="953"/>
      <c r="AK135" s="390" t="str">
        <f>IF(H6="","",IF(OR(AK32="○",AND(AK32="×",AK33="✓")),"○","×"))</f>
        <v>○</v>
      </c>
      <c r="AL135" s="392"/>
    </row>
    <row r="136" spans="1:38" s="96" customFormat="1" ht="24" customHeight="1">
      <c r="A136" s="248"/>
      <c r="B136" s="393" t="s">
        <v>198</v>
      </c>
      <c r="C136" s="968" t="s">
        <v>199</v>
      </c>
      <c r="D136" s="969"/>
      <c r="E136" s="969"/>
      <c r="F136" s="969"/>
      <c r="G136" s="969"/>
      <c r="H136" s="969"/>
      <c r="I136" s="970"/>
      <c r="J136" s="952" t="s">
        <v>200</v>
      </c>
      <c r="K136" s="952"/>
      <c r="L136" s="952"/>
      <c r="M136" s="952"/>
      <c r="N136" s="952"/>
      <c r="O136" s="952"/>
      <c r="P136" s="952"/>
      <c r="Q136" s="952"/>
      <c r="R136" s="952"/>
      <c r="S136" s="952"/>
      <c r="T136" s="952"/>
      <c r="U136" s="952"/>
      <c r="V136" s="952"/>
      <c r="W136" s="952"/>
      <c r="X136" s="952"/>
      <c r="Y136" s="952"/>
      <c r="Z136" s="952"/>
      <c r="AA136" s="952"/>
      <c r="AB136" s="952"/>
      <c r="AC136" s="952"/>
      <c r="AD136" s="952"/>
      <c r="AE136" s="952"/>
      <c r="AF136" s="952"/>
      <c r="AG136" s="952"/>
      <c r="AH136" s="952"/>
      <c r="AI136" s="952"/>
      <c r="AJ136" s="953"/>
      <c r="AK136" s="390" t="str">
        <f>IF(H6="","",IF(AND(BA36=0,BE36=0),"",IF(OR(AK36="○",AND(AK36="×",AK37="✓")),"○","×")))</f>
        <v>○</v>
      </c>
      <c r="AL136" s="15"/>
    </row>
    <row r="137" spans="1:38" s="12" customFormat="1" ht="26.25" customHeight="1">
      <c r="A137" s="248"/>
      <c r="B137" s="393" t="s">
        <v>201</v>
      </c>
      <c r="C137" s="968" t="s">
        <v>202</v>
      </c>
      <c r="D137" s="969"/>
      <c r="E137" s="969"/>
      <c r="F137" s="969"/>
      <c r="G137" s="969"/>
      <c r="H137" s="969"/>
      <c r="I137" s="970"/>
      <c r="J137" s="952" t="s">
        <v>203</v>
      </c>
      <c r="K137" s="952"/>
      <c r="L137" s="952"/>
      <c r="M137" s="952"/>
      <c r="N137" s="952"/>
      <c r="O137" s="952"/>
      <c r="P137" s="952"/>
      <c r="Q137" s="952"/>
      <c r="R137" s="952"/>
      <c r="S137" s="952"/>
      <c r="T137" s="952"/>
      <c r="U137" s="952"/>
      <c r="V137" s="952"/>
      <c r="W137" s="952"/>
      <c r="X137" s="952"/>
      <c r="Y137" s="952"/>
      <c r="Z137" s="952"/>
      <c r="AA137" s="952"/>
      <c r="AB137" s="952"/>
      <c r="AC137" s="952"/>
      <c r="AD137" s="952"/>
      <c r="AE137" s="952"/>
      <c r="AF137" s="952"/>
      <c r="AG137" s="952"/>
      <c r="AH137" s="952"/>
      <c r="AI137" s="952"/>
      <c r="AJ137" s="953"/>
      <c r="AK137" s="390" t="str">
        <f>IF(H6="","",IF(AND(BA40=0,BE40=0),"",IF(OR(AK40="○",AK43="○"),"○","×")))</f>
        <v>○</v>
      </c>
      <c r="AL137" s="15"/>
    </row>
    <row r="138" spans="1:38" s="12" customFormat="1" ht="18" customHeight="1">
      <c r="A138" s="248"/>
      <c r="B138" s="393" t="s">
        <v>204</v>
      </c>
      <c r="C138" s="968" t="s">
        <v>205</v>
      </c>
      <c r="D138" s="969"/>
      <c r="E138" s="969"/>
      <c r="F138" s="969"/>
      <c r="G138" s="969"/>
      <c r="H138" s="969"/>
      <c r="I138" s="970"/>
      <c r="J138" s="954" t="s">
        <v>206</v>
      </c>
      <c r="K138" s="954"/>
      <c r="L138" s="954"/>
      <c r="M138" s="954"/>
      <c r="N138" s="954"/>
      <c r="O138" s="954"/>
      <c r="P138" s="954"/>
      <c r="Q138" s="954"/>
      <c r="R138" s="954"/>
      <c r="S138" s="954"/>
      <c r="T138" s="954"/>
      <c r="U138" s="954"/>
      <c r="V138" s="954"/>
      <c r="W138" s="954"/>
      <c r="X138" s="954"/>
      <c r="Y138" s="954"/>
      <c r="Z138" s="954"/>
      <c r="AA138" s="954"/>
      <c r="AB138" s="954"/>
      <c r="AC138" s="954"/>
      <c r="AD138" s="954"/>
      <c r="AE138" s="954"/>
      <c r="AF138" s="954"/>
      <c r="AG138" s="954"/>
      <c r="AH138" s="954"/>
      <c r="AI138" s="954"/>
      <c r="AJ138" s="955"/>
      <c r="AK138" s="390" t="str">
        <f>IF(H6="","",IF(AND(BA51=0,BE51=0),"",IF(OR(AK40="○",AK43="○"),"○","×")))</f>
        <v>○</v>
      </c>
      <c r="AL138" s="392"/>
    </row>
    <row r="139" spans="1:38" s="12" customFormat="1" ht="22.2" customHeight="1">
      <c r="A139" s="248"/>
      <c r="B139" s="951" t="s">
        <v>207</v>
      </c>
      <c r="C139" s="974" t="s">
        <v>208</v>
      </c>
      <c r="D139" s="975"/>
      <c r="E139" s="975"/>
      <c r="F139" s="975"/>
      <c r="G139" s="975"/>
      <c r="H139" s="975"/>
      <c r="I139" s="976"/>
      <c r="J139" s="952" t="s">
        <v>209</v>
      </c>
      <c r="K139" s="952"/>
      <c r="L139" s="952"/>
      <c r="M139" s="952"/>
      <c r="N139" s="952"/>
      <c r="O139" s="952"/>
      <c r="P139" s="952"/>
      <c r="Q139" s="952"/>
      <c r="R139" s="952"/>
      <c r="S139" s="952"/>
      <c r="T139" s="952"/>
      <c r="U139" s="952"/>
      <c r="V139" s="952"/>
      <c r="W139" s="952"/>
      <c r="X139" s="952"/>
      <c r="Y139" s="952"/>
      <c r="Z139" s="952"/>
      <c r="AA139" s="952"/>
      <c r="AB139" s="952"/>
      <c r="AC139" s="952"/>
      <c r="AD139" s="952"/>
      <c r="AE139" s="952"/>
      <c r="AF139" s="952"/>
      <c r="AG139" s="952"/>
      <c r="AH139" s="952"/>
      <c r="AI139" s="952"/>
      <c r="AJ139" s="953"/>
      <c r="AK139" s="390" t="str">
        <f>IF(H6="", "",IF(OR(AK54="○", AK56="○"), "○", "×"))</f>
        <v>○</v>
      </c>
      <c r="AL139" s="15"/>
    </row>
    <row r="140" spans="1:38" s="12" customFormat="1">
      <c r="A140" s="248"/>
      <c r="B140" s="951"/>
      <c r="C140" s="977"/>
      <c r="D140" s="978"/>
      <c r="E140" s="978"/>
      <c r="F140" s="978"/>
      <c r="G140" s="978"/>
      <c r="H140" s="978"/>
      <c r="I140" s="979"/>
      <c r="J140" s="954" t="s">
        <v>210</v>
      </c>
      <c r="K140" s="954"/>
      <c r="L140" s="954"/>
      <c r="M140" s="954"/>
      <c r="N140" s="954"/>
      <c r="O140" s="954"/>
      <c r="P140" s="954"/>
      <c r="Q140" s="954"/>
      <c r="R140" s="954"/>
      <c r="S140" s="954"/>
      <c r="T140" s="954"/>
      <c r="U140" s="954"/>
      <c r="V140" s="954"/>
      <c r="W140" s="954"/>
      <c r="X140" s="954"/>
      <c r="Y140" s="954"/>
      <c r="Z140" s="954"/>
      <c r="AA140" s="954"/>
      <c r="AB140" s="954"/>
      <c r="AC140" s="954"/>
      <c r="AD140" s="954"/>
      <c r="AE140" s="954"/>
      <c r="AF140" s="954"/>
      <c r="AG140" s="954"/>
      <c r="AH140" s="954"/>
      <c r="AI140" s="954"/>
      <c r="AJ140" s="955"/>
      <c r="AK140" s="390" t="str">
        <f>IF(H6="", "", AK96)</f>
        <v>○</v>
      </c>
      <c r="AL140" s="15"/>
    </row>
    <row r="141" spans="1:38" ht="15" customHeight="1">
      <c r="A141" s="15"/>
      <c r="B141" s="394" t="s">
        <v>211</v>
      </c>
      <c r="C141" s="986" t="s">
        <v>212</v>
      </c>
      <c r="D141" s="986"/>
      <c r="E141" s="986"/>
      <c r="F141" s="986"/>
      <c r="G141" s="986"/>
      <c r="H141" s="986"/>
      <c r="I141" s="986"/>
      <c r="J141" s="987" t="s">
        <v>213</v>
      </c>
      <c r="K141" s="987"/>
      <c r="L141" s="987"/>
      <c r="M141" s="987"/>
      <c r="N141" s="987"/>
      <c r="O141" s="987"/>
      <c r="P141" s="987"/>
      <c r="Q141" s="987"/>
      <c r="R141" s="987"/>
      <c r="S141" s="987"/>
      <c r="T141" s="987"/>
      <c r="U141" s="987"/>
      <c r="V141" s="987"/>
      <c r="W141" s="987"/>
      <c r="X141" s="987"/>
      <c r="Y141" s="987"/>
      <c r="Z141" s="987"/>
      <c r="AA141" s="987"/>
      <c r="AB141" s="987"/>
      <c r="AC141" s="987"/>
      <c r="AD141" s="987"/>
      <c r="AE141" s="987"/>
      <c r="AF141" s="987"/>
      <c r="AG141" s="987"/>
      <c r="AH141" s="987"/>
      <c r="AI141" s="987"/>
      <c r="AJ141" s="988"/>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971" t="s">
        <v>214</v>
      </c>
      <c r="C143" s="972"/>
      <c r="D143" s="972"/>
      <c r="E143" s="972"/>
      <c r="F143" s="972"/>
      <c r="G143" s="972"/>
      <c r="H143" s="972"/>
      <c r="I143" s="972"/>
      <c r="J143" s="972"/>
      <c r="K143" s="972"/>
      <c r="L143" s="972"/>
      <c r="M143" s="972"/>
      <c r="N143" s="972"/>
      <c r="O143" s="972"/>
      <c r="P143" s="972"/>
      <c r="Q143" s="972"/>
      <c r="R143" s="972"/>
      <c r="S143" s="972"/>
      <c r="T143" s="972"/>
      <c r="U143" s="972"/>
      <c r="V143" s="972"/>
      <c r="W143" s="972"/>
      <c r="X143" s="972"/>
      <c r="Y143" s="972"/>
      <c r="Z143" s="972"/>
      <c r="AA143" s="972"/>
      <c r="AB143" s="972"/>
      <c r="AC143" s="972"/>
      <c r="AD143" s="972"/>
      <c r="AE143" s="972"/>
      <c r="AF143" s="972"/>
      <c r="AG143" s="972"/>
      <c r="AH143" s="972"/>
      <c r="AI143" s="972"/>
      <c r="AJ143" s="972"/>
      <c r="AK143" s="973"/>
      <c r="AL143" s="15"/>
    </row>
    <row r="144" spans="1:38" ht="13.2" customHeight="1">
      <c r="A144" s="15"/>
      <c r="B144" s="396" t="s">
        <v>66</v>
      </c>
      <c r="C144" s="983" t="s">
        <v>215</v>
      </c>
      <c r="D144" s="984"/>
      <c r="E144" s="984"/>
      <c r="F144" s="984"/>
      <c r="G144" s="984"/>
      <c r="H144" s="984"/>
      <c r="I144" s="984"/>
      <c r="J144" s="984"/>
      <c r="K144" s="984"/>
      <c r="L144" s="984"/>
      <c r="M144" s="984"/>
      <c r="N144" s="984"/>
      <c r="O144" s="984"/>
      <c r="P144" s="984"/>
      <c r="Q144" s="984"/>
      <c r="R144" s="984"/>
      <c r="S144" s="984"/>
      <c r="T144" s="984"/>
      <c r="U144" s="984"/>
      <c r="V144" s="984"/>
      <c r="W144" s="984"/>
      <c r="X144" s="984"/>
      <c r="Y144" s="984"/>
      <c r="Z144" s="984"/>
      <c r="AA144" s="984"/>
      <c r="AB144" s="984"/>
      <c r="AC144" s="984"/>
      <c r="AD144" s="984"/>
      <c r="AE144" s="984"/>
      <c r="AF144" s="984"/>
      <c r="AG144" s="984"/>
      <c r="AH144" s="984"/>
      <c r="AI144" s="984"/>
      <c r="AJ144" s="985"/>
      <c r="AK144" s="390" t="str">
        <f>IF(H6="", "",AK106)</f>
        <v>○</v>
      </c>
      <c r="AL144" s="15"/>
    </row>
    <row r="145" spans="1:38" ht="13.2" customHeight="1">
      <c r="A145" s="15"/>
      <c r="B145" s="397" t="s">
        <v>66</v>
      </c>
      <c r="C145" s="962" t="s">
        <v>216</v>
      </c>
      <c r="D145" s="963"/>
      <c r="E145" s="963"/>
      <c r="F145" s="963"/>
      <c r="G145" s="963"/>
      <c r="H145" s="963"/>
      <c r="I145" s="963"/>
      <c r="J145" s="963"/>
      <c r="K145" s="963"/>
      <c r="L145" s="963"/>
      <c r="M145" s="963"/>
      <c r="N145" s="963"/>
      <c r="O145" s="963"/>
      <c r="P145" s="963"/>
      <c r="Q145" s="963"/>
      <c r="R145" s="963"/>
      <c r="S145" s="963"/>
      <c r="T145" s="963"/>
      <c r="U145" s="963"/>
      <c r="V145" s="963"/>
      <c r="W145" s="963"/>
      <c r="X145" s="963"/>
      <c r="Y145" s="963"/>
      <c r="Z145" s="963"/>
      <c r="AA145" s="963"/>
      <c r="AB145" s="963"/>
      <c r="AC145" s="963"/>
      <c r="AD145" s="963"/>
      <c r="AE145" s="963"/>
      <c r="AF145" s="963"/>
      <c r="AG145" s="963"/>
      <c r="AH145" s="963"/>
      <c r="AI145" s="963"/>
      <c r="AJ145" s="964"/>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55"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38">
      <formula>AK40="○"</formula>
    </cfRule>
    <cfRule type="expression" dxfId="29" priority="43">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5" t="s">
        <v>291</v>
      </c>
      <c r="C3" s="995"/>
      <c r="D3" s="995"/>
      <c r="E3" s="995"/>
      <c r="F3" s="995"/>
      <c r="G3" s="995"/>
      <c r="H3" s="995"/>
      <c r="I3" s="995"/>
      <c r="J3" s="560"/>
    </row>
    <row r="4" spans="1:10" s="563" customFormat="1" ht="25.2" customHeight="1">
      <c r="A4" s="560"/>
      <c r="B4" s="992" t="s">
        <v>292</v>
      </c>
      <c r="C4" s="993"/>
      <c r="D4" s="993"/>
      <c r="E4" s="993"/>
      <c r="F4" s="993"/>
      <c r="G4" s="993"/>
      <c r="H4" s="993"/>
      <c r="I4" s="994"/>
      <c r="J4" s="560"/>
    </row>
    <row r="5" spans="1:10" s="563" customFormat="1" ht="25.2" customHeight="1">
      <c r="A5" s="560"/>
      <c r="B5" s="565" t="s">
        <v>293</v>
      </c>
      <c r="C5" s="992" t="s">
        <v>294</v>
      </c>
      <c r="D5" s="993"/>
      <c r="E5" s="993"/>
      <c r="F5" s="993"/>
      <c r="G5" s="993"/>
      <c r="H5" s="993"/>
      <c r="I5" s="994"/>
      <c r="J5" s="560"/>
    </row>
    <row r="6" spans="1:10" s="563" customFormat="1" ht="25.2" customHeight="1">
      <c r="A6" s="560"/>
      <c r="B6" s="565" t="s">
        <v>295</v>
      </c>
      <c r="C6" s="992" t="s">
        <v>296</v>
      </c>
      <c r="D6" s="993"/>
      <c r="E6" s="993"/>
      <c r="F6" s="993"/>
      <c r="G6" s="993"/>
      <c r="H6" s="993"/>
      <c r="I6" s="994"/>
      <c r="J6" s="560"/>
    </row>
    <row r="7" spans="1:10" s="563" customFormat="1" ht="25.2" customHeight="1">
      <c r="A7" s="560"/>
      <c r="B7" s="565" t="s">
        <v>297</v>
      </c>
      <c r="C7" s="992" t="s">
        <v>298</v>
      </c>
      <c r="D7" s="993"/>
      <c r="E7" s="993"/>
      <c r="F7" s="993"/>
      <c r="G7" s="993"/>
      <c r="H7" s="993"/>
      <c r="I7" s="994"/>
      <c r="J7" s="560"/>
    </row>
    <row r="8" spans="1:10" s="563" customFormat="1" ht="25.2" customHeight="1">
      <c r="A8" s="560"/>
      <c r="B8" s="566"/>
      <c r="C8" s="560"/>
      <c r="D8" s="567"/>
      <c r="E8" s="567"/>
      <c r="F8" s="567"/>
      <c r="G8" s="567"/>
      <c r="H8" s="567"/>
      <c r="I8" s="567"/>
      <c r="J8" s="560"/>
    </row>
    <row r="9" spans="1:10" s="563" customFormat="1" ht="36" customHeight="1">
      <c r="A9" s="560"/>
      <c r="B9" s="995" t="s">
        <v>299</v>
      </c>
      <c r="C9" s="995"/>
      <c r="D9" s="995"/>
      <c r="E9" s="995"/>
      <c r="F9" s="995"/>
      <c r="G9" s="995"/>
      <c r="H9" s="995"/>
      <c r="I9" s="995"/>
      <c r="J9" s="560"/>
    </row>
    <row r="10" spans="1:10" s="563" customFormat="1" ht="25.2" customHeight="1">
      <c r="A10" s="560"/>
      <c r="B10" s="992" t="s">
        <v>300</v>
      </c>
      <c r="C10" s="993"/>
      <c r="D10" s="993"/>
      <c r="E10" s="993"/>
      <c r="F10" s="993"/>
      <c r="G10" s="993"/>
      <c r="H10" s="993"/>
      <c r="I10" s="994"/>
      <c r="J10" s="560"/>
    </row>
    <row r="11" spans="1:10" s="563" customFormat="1" ht="56.55" customHeight="1">
      <c r="A11" s="560"/>
      <c r="B11" s="996" t="s">
        <v>301</v>
      </c>
      <c r="C11" s="989" t="s">
        <v>302</v>
      </c>
      <c r="D11" s="990"/>
      <c r="E11" s="990"/>
      <c r="F11" s="990"/>
      <c r="G11" s="990"/>
      <c r="H11" s="990"/>
      <c r="I11" s="991"/>
      <c r="J11" s="560"/>
    </row>
    <row r="12" spans="1:10" s="563" customFormat="1" ht="54.6" customHeight="1">
      <c r="A12" s="560"/>
      <c r="B12" s="996"/>
      <c r="C12" s="997" t="s">
        <v>303</v>
      </c>
      <c r="D12" s="565" t="s">
        <v>304</v>
      </c>
      <c r="E12" s="989" t="s">
        <v>305</v>
      </c>
      <c r="F12" s="990"/>
      <c r="G12" s="990"/>
      <c r="H12" s="990"/>
      <c r="I12" s="991"/>
      <c r="J12" s="568"/>
    </row>
    <row r="13" spans="1:10" s="563" customFormat="1" ht="32.549999999999997" customHeight="1">
      <c r="A13" s="560"/>
      <c r="B13" s="996"/>
      <c r="C13" s="998"/>
      <c r="D13" s="565" t="s">
        <v>306</v>
      </c>
      <c r="E13" s="989" t="s">
        <v>307</v>
      </c>
      <c r="F13" s="990"/>
      <c r="G13" s="990"/>
      <c r="H13" s="990"/>
      <c r="I13" s="991"/>
      <c r="J13" s="568"/>
    </row>
    <row r="14" spans="1:10" s="563" customFormat="1" ht="25.2" customHeight="1">
      <c r="A14" s="560"/>
      <c r="B14" s="565" t="s">
        <v>308</v>
      </c>
      <c r="C14" s="992" t="s">
        <v>309</v>
      </c>
      <c r="D14" s="993"/>
      <c r="E14" s="993"/>
      <c r="F14" s="993"/>
      <c r="G14" s="993"/>
      <c r="H14" s="993"/>
      <c r="I14" s="994"/>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1002" t="s">
        <v>312</v>
      </c>
      <c r="B20" s="1003"/>
      <c r="C20" s="579" t="s">
        <v>313</v>
      </c>
      <c r="D20" s="580" t="s">
        <v>314</v>
      </c>
      <c r="E20" s="580" t="s">
        <v>315</v>
      </c>
      <c r="F20" s="580" t="s">
        <v>316</v>
      </c>
      <c r="G20" s="576"/>
      <c r="H20" s="576"/>
      <c r="I20" s="576"/>
    </row>
    <row r="21" spans="1:10" ht="93.6">
      <c r="A21" s="1004" t="s">
        <v>317</v>
      </c>
      <c r="B21" s="1003"/>
      <c r="C21" s="581" t="s">
        <v>318</v>
      </c>
      <c r="D21" s="581" t="s">
        <v>319</v>
      </c>
      <c r="E21" s="581" t="s">
        <v>320</v>
      </c>
      <c r="F21" s="581" t="s">
        <v>321</v>
      </c>
      <c r="G21" s="576"/>
      <c r="H21" s="576"/>
      <c r="I21" s="576"/>
    </row>
    <row r="22" spans="1:10" ht="82.2">
      <c r="A22" s="1004" t="s">
        <v>322</v>
      </c>
      <c r="B22" s="1003"/>
      <c r="C22" s="581" t="s">
        <v>323</v>
      </c>
      <c r="D22" s="581" t="s">
        <v>324</v>
      </c>
      <c r="E22" s="581" t="s">
        <v>325</v>
      </c>
      <c r="F22" s="582" t="s">
        <v>326</v>
      </c>
      <c r="G22" s="575"/>
      <c r="H22" s="575"/>
      <c r="I22" s="575"/>
    </row>
    <row r="23" spans="1:10" ht="82.2">
      <c r="A23" s="1004" t="s">
        <v>327</v>
      </c>
      <c r="B23" s="1003"/>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1005" t="s">
        <v>332</v>
      </c>
      <c r="B25" s="1005"/>
      <c r="C25" s="1005"/>
      <c r="D25" s="1005"/>
      <c r="E25" s="1005"/>
      <c r="F25" s="1005"/>
      <c r="G25" s="1005"/>
      <c r="H25" s="1005"/>
      <c r="I25" s="1005"/>
    </row>
    <row r="26" spans="1:10" ht="23.4">
      <c r="A26" s="583" t="s">
        <v>333</v>
      </c>
      <c r="B26" s="583"/>
      <c r="C26" s="583"/>
      <c r="D26" s="583"/>
      <c r="E26" s="583"/>
      <c r="F26" s="583"/>
      <c r="G26" s="583"/>
      <c r="H26" s="583"/>
      <c r="I26" s="583"/>
    </row>
    <row r="27" spans="1:10" ht="23.4">
      <c r="A27" s="999" t="s">
        <v>334</v>
      </c>
      <c r="B27" s="1000"/>
      <c r="C27" s="1000"/>
      <c r="D27" s="1000"/>
      <c r="E27" s="1000"/>
      <c r="F27" s="1000"/>
      <c r="G27" s="1000"/>
      <c r="H27" s="1000"/>
      <c r="I27" s="1001"/>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13" t="s">
        <v>347</v>
      </c>
      <c r="B2" s="1008" t="s">
        <v>348</v>
      </c>
      <c r="C2" s="1011" t="s">
        <v>349</v>
      </c>
      <c r="D2" s="1011"/>
      <c r="E2" s="1011"/>
      <c r="F2" s="1012"/>
      <c r="G2" s="1010" t="s">
        <v>350</v>
      </c>
      <c r="H2" s="1011"/>
      <c r="I2" s="1011"/>
      <c r="J2" s="1011"/>
      <c r="K2" s="1011"/>
      <c r="L2" s="1011"/>
      <c r="M2" s="1012"/>
      <c r="N2" s="1010" t="s">
        <v>351</v>
      </c>
      <c r="O2" s="1016" t="s">
        <v>352</v>
      </c>
      <c r="Q2" s="1018" t="s">
        <v>353</v>
      </c>
      <c r="R2" s="1019"/>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4"/>
      <c r="B3" s="1009"/>
      <c r="C3" s="621" t="s">
        <v>367</v>
      </c>
      <c r="D3" s="622" t="s">
        <v>368</v>
      </c>
      <c r="E3" s="622" t="s">
        <v>369</v>
      </c>
      <c r="F3" s="622" t="s">
        <v>370</v>
      </c>
      <c r="G3" s="621" t="s">
        <v>371</v>
      </c>
      <c r="H3" s="621" t="s">
        <v>372</v>
      </c>
      <c r="I3" s="622" t="s">
        <v>373</v>
      </c>
      <c r="J3" s="622" t="s">
        <v>374</v>
      </c>
      <c r="K3" s="622" t="s">
        <v>375</v>
      </c>
      <c r="L3" s="622" t="s">
        <v>376</v>
      </c>
      <c r="M3" s="623" t="s">
        <v>377</v>
      </c>
      <c r="N3" s="1015"/>
      <c r="O3" s="1017"/>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6" t="s">
        <v>761</v>
      </c>
      <c r="AS51" s="1006"/>
      <c r="AT51" s="1006"/>
      <c r="AU51" s="100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7" t="s">
        <v>765</v>
      </c>
      <c r="AS52" s="1007"/>
      <c r="AT52" s="1007"/>
      <c r="AU52" s="100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7"/>
      <c r="AS53" s="1007"/>
      <c r="AT53" s="1007"/>
      <c r="AU53" s="100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2026-03-24T10:14:23Z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